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ormant Dockets\"/>
    </mc:Choice>
  </mc:AlternateContent>
  <bookViews>
    <workbookView xWindow="0" yWindow="0" windowWidth="13410" windowHeight="7800"/>
  </bookViews>
  <sheets>
    <sheet name="ECFS" sheetId="1" r:id="rId1"/>
  </sheets>
  <definedNames>
    <definedName name="_xlnm._FilterDatabase" localSheetId="0" hidden="1">ECFS!$A$1:$H$330</definedName>
  </definedNames>
  <calcPr calcId="152511"/>
</workbook>
</file>

<file path=xl/calcChain.xml><?xml version="1.0" encoding="utf-8"?>
<calcChain xmlns="http://schemas.openxmlformats.org/spreadsheetml/2006/main">
  <c r="D13" i="1" l="1"/>
  <c r="C13" i="1"/>
  <c r="C11" i="1"/>
  <c r="D11" i="1"/>
  <c r="D29" i="1" l="1"/>
  <c r="C29" i="1"/>
  <c r="D28" i="1"/>
  <c r="C28" i="1"/>
  <c r="C26" i="1"/>
  <c r="D26" i="1"/>
  <c r="D293" i="1"/>
  <c r="C293" i="1"/>
  <c r="C269" i="1"/>
  <c r="D269" i="1"/>
  <c r="C314" i="1" l="1"/>
  <c r="C195" i="1"/>
  <c r="C272" i="1"/>
  <c r="C43" i="1"/>
  <c r="C75" i="1"/>
  <c r="C63" i="1"/>
  <c r="C192" i="1"/>
  <c r="C258" i="1"/>
  <c r="C319" i="1"/>
  <c r="C94" i="1"/>
  <c r="C132" i="1"/>
  <c r="C133" i="1"/>
  <c r="C134" i="1"/>
  <c r="C226" i="1"/>
  <c r="C68" i="1"/>
  <c r="C175" i="1"/>
  <c r="C124" i="1"/>
  <c r="C180" i="1"/>
  <c r="C137" i="1"/>
  <c r="C136" i="1"/>
  <c r="C127" i="1"/>
  <c r="C123" i="1"/>
  <c r="C140" i="1"/>
  <c r="C45" i="1"/>
  <c r="C47" i="1"/>
  <c r="C256" i="1"/>
  <c r="C329" i="1"/>
  <c r="C266" i="1"/>
  <c r="C259" i="1"/>
  <c r="C221" i="1"/>
  <c r="C141" i="1"/>
  <c r="C317" i="1"/>
  <c r="C318" i="1"/>
  <c r="C196" i="1"/>
  <c r="C233" i="1"/>
  <c r="C173" i="1"/>
  <c r="C108" i="1"/>
  <c r="C176" i="1"/>
  <c r="C121" i="1"/>
  <c r="C103" i="1"/>
  <c r="C297" i="1"/>
  <c r="C122" i="1"/>
  <c r="C330" i="1"/>
  <c r="C33" i="1"/>
  <c r="C32" i="1"/>
  <c r="C320" i="1"/>
  <c r="C111" i="1"/>
  <c r="C181" i="1"/>
  <c r="C271" i="1"/>
  <c r="C135" i="1"/>
  <c r="C138" i="1"/>
  <c r="C300" i="1"/>
  <c r="C179" i="1"/>
  <c r="C3" i="1"/>
  <c r="C139" i="1"/>
  <c r="C64" i="1"/>
  <c r="C66" i="1"/>
  <c r="C237" i="1"/>
  <c r="C54" i="1"/>
  <c r="C177" i="1"/>
  <c r="C200" i="1"/>
  <c r="C27" i="1"/>
  <c r="C71" i="1"/>
  <c r="C234" i="1"/>
  <c r="C178" i="1"/>
  <c r="C287" i="1"/>
  <c r="C313" i="1"/>
  <c r="C104" i="1"/>
  <c r="C168" i="1"/>
  <c r="C292" i="1"/>
  <c r="C262" i="1"/>
  <c r="C267" i="1"/>
  <c r="C125" i="1"/>
  <c r="C126" i="1"/>
  <c r="C174" i="1"/>
  <c r="C119" i="1"/>
  <c r="C194" i="1"/>
  <c r="C117" i="1"/>
  <c r="C81" i="1"/>
  <c r="C160" i="1"/>
  <c r="C288" i="1"/>
  <c r="C254" i="1"/>
  <c r="C153" i="1"/>
  <c r="C128" i="1"/>
  <c r="C114" i="1"/>
  <c r="C312" i="1"/>
  <c r="C260" i="1"/>
  <c r="C65" i="1"/>
  <c r="C116" i="1"/>
  <c r="C248" i="1"/>
  <c r="C316" i="1"/>
  <c r="C197" i="1"/>
  <c r="C110" i="1"/>
  <c r="C115" i="1"/>
  <c r="C21" i="1"/>
  <c r="C257" i="1"/>
  <c r="C118" i="1"/>
  <c r="C89" i="1"/>
  <c r="C34" i="1"/>
  <c r="C109" i="1"/>
  <c r="C225" i="1"/>
  <c r="C130" i="1"/>
  <c r="C161" i="1"/>
  <c r="C96" i="1"/>
  <c r="C169" i="1"/>
  <c r="C120" i="1"/>
  <c r="C129" i="1"/>
  <c r="C170" i="1"/>
  <c r="C325" i="1"/>
  <c r="C264" i="1"/>
  <c r="C206" i="1"/>
  <c r="C107" i="1"/>
  <c r="C154" i="1"/>
  <c r="C166" i="1"/>
  <c r="C241" i="1"/>
  <c r="C70" i="1"/>
  <c r="C162" i="1"/>
  <c r="C97" i="1"/>
  <c r="C240" i="1"/>
  <c r="C268" i="1"/>
  <c r="C112" i="1"/>
  <c r="C113" i="1"/>
  <c r="C102" i="1"/>
  <c r="C167" i="1"/>
  <c r="C23" i="1"/>
  <c r="C327" i="1"/>
  <c r="C224" i="1"/>
  <c r="C12" i="1"/>
  <c r="C322" i="1"/>
  <c r="C323" i="1"/>
  <c r="C209" i="1"/>
  <c r="C144" i="1"/>
  <c r="C315" i="1"/>
  <c r="C326" i="1"/>
  <c r="C328" i="1"/>
  <c r="C88" i="1"/>
  <c r="C171" i="1"/>
  <c r="C172" i="1"/>
  <c r="C91" i="1"/>
  <c r="C131" i="1"/>
  <c r="C324" i="1"/>
  <c r="C188" i="1"/>
  <c r="C301" i="1"/>
  <c r="C184" i="1"/>
  <c r="C305" i="1"/>
  <c r="C308" i="1"/>
  <c r="C321" i="1"/>
  <c r="C263" i="1"/>
  <c r="C251" i="1"/>
  <c r="C149" i="1"/>
  <c r="C77" i="1"/>
  <c r="C165" i="1"/>
  <c r="C99" i="1"/>
  <c r="C101" i="1"/>
  <c r="C182" i="1"/>
  <c r="C183" i="1"/>
  <c r="C83" i="1"/>
  <c r="C78" i="1"/>
  <c r="C22" i="1"/>
  <c r="C79" i="1"/>
  <c r="C106" i="1"/>
  <c r="C31" i="1"/>
  <c r="C82" i="1"/>
  <c r="C159" i="1"/>
  <c r="C95" i="1"/>
  <c r="C93" i="1"/>
  <c r="C164" i="1"/>
  <c r="C100" i="1"/>
  <c r="C98" i="1"/>
  <c r="C227" i="1"/>
  <c r="C306" i="1"/>
  <c r="C290" i="1"/>
  <c r="C238" i="1"/>
  <c r="C252" i="1"/>
  <c r="C250" i="1"/>
  <c r="C230" i="1"/>
  <c r="C307" i="1"/>
  <c r="C158" i="1"/>
  <c r="C92" i="1"/>
  <c r="C25" i="1"/>
  <c r="C163" i="1"/>
  <c r="C36" i="1"/>
  <c r="C190" i="1"/>
  <c r="C87" i="1"/>
  <c r="C157" i="1"/>
  <c r="C243" i="1"/>
  <c r="C276" i="1"/>
  <c r="C39" i="1"/>
  <c r="C85" i="1"/>
  <c r="C228" i="1"/>
  <c r="C199" i="1"/>
  <c r="C281" i="1"/>
  <c r="C105" i="1"/>
  <c r="C7" i="1"/>
  <c r="C191" i="1"/>
  <c r="C285" i="1"/>
  <c r="C146" i="1"/>
  <c r="C189" i="1"/>
  <c r="C203" i="1"/>
  <c r="C86" i="1"/>
  <c r="C310" i="1"/>
  <c r="C156" i="1"/>
  <c r="C273" i="1"/>
  <c r="C205" i="1"/>
  <c r="C155" i="1"/>
  <c r="C204" i="1"/>
  <c r="C282" i="1"/>
  <c r="C255" i="1"/>
  <c r="C90" i="1"/>
  <c r="C76" i="1"/>
  <c r="C253" i="1"/>
  <c r="C73" i="1"/>
  <c r="C309" i="1"/>
  <c r="C311" i="1"/>
  <c r="C289" i="1"/>
  <c r="C19" i="1"/>
  <c r="C277" i="1"/>
  <c r="C185" i="1"/>
  <c r="C201" i="1"/>
  <c r="C303" i="1"/>
  <c r="C193" i="1"/>
  <c r="C152" i="1"/>
  <c r="C80" i="1"/>
  <c r="C283" i="1"/>
  <c r="C148" i="1"/>
  <c r="C24" i="1"/>
  <c r="C275" i="1"/>
  <c r="C151" i="1"/>
  <c r="C261" i="1"/>
  <c r="C84" i="1"/>
  <c r="C202" i="1"/>
  <c r="C198" i="1"/>
  <c r="C270" i="1"/>
  <c r="C235" i="1"/>
  <c r="C72" i="1"/>
  <c r="C291" i="1"/>
  <c r="C246" i="1"/>
  <c r="C150" i="1"/>
  <c r="C35" i="1"/>
  <c r="C236" i="1"/>
  <c r="C6" i="1"/>
  <c r="C2" i="1"/>
  <c r="C67" i="1"/>
  <c r="C147" i="1"/>
  <c r="C231" i="1"/>
  <c r="C332" i="1"/>
  <c r="C249" i="1"/>
  <c r="C247" i="1"/>
  <c r="C232" i="1"/>
  <c r="C239" i="1"/>
  <c r="C244" i="1"/>
  <c r="C302" i="1"/>
  <c r="C265" i="1"/>
  <c r="C223" i="1"/>
  <c r="C245" i="1"/>
  <c r="C242" i="1"/>
  <c r="C274" i="1"/>
  <c r="C304" i="1"/>
  <c r="C14" i="1"/>
  <c r="C296" i="1"/>
  <c r="C216" i="1"/>
  <c r="C18" i="1"/>
  <c r="C284" i="1"/>
  <c r="C17" i="1"/>
  <c r="C41" i="1"/>
  <c r="C74" i="1"/>
  <c r="C331" i="1"/>
  <c r="C145" i="1"/>
  <c r="C62" i="1"/>
  <c r="C69" i="1"/>
  <c r="C279" i="1"/>
  <c r="C186" i="1"/>
  <c r="C278" i="1"/>
  <c r="C298" i="1"/>
  <c r="C294" i="1"/>
  <c r="C295" i="1"/>
  <c r="C187" i="1"/>
  <c r="C213" i="1"/>
  <c r="C208" i="1"/>
  <c r="C210" i="1"/>
  <c r="C217" i="1"/>
  <c r="C219" i="1"/>
  <c r="C215" i="1"/>
  <c r="C37" i="1"/>
  <c r="C207" i="1"/>
  <c r="C15" i="1"/>
  <c r="C30" i="1"/>
  <c r="C218" i="1"/>
  <c r="C299" i="1"/>
  <c r="C38" i="1"/>
  <c r="C9" i="1"/>
  <c r="C40" i="1"/>
  <c r="C280" i="1"/>
  <c r="C286" i="1"/>
  <c r="C143" i="1"/>
  <c r="C4" i="1"/>
  <c r="C55" i="1"/>
  <c r="C56" i="1"/>
  <c r="C49" i="1"/>
  <c r="C10" i="1"/>
  <c r="C16" i="1"/>
  <c r="C142" i="1"/>
  <c r="C214" i="1"/>
  <c r="C211" i="1"/>
  <c r="C229" i="1"/>
  <c r="C44" i="1"/>
  <c r="C46" i="1"/>
  <c r="C5" i="1"/>
  <c r="C20" i="1"/>
  <c r="C50" i="1"/>
  <c r="C220" i="1"/>
  <c r="C222" i="1"/>
  <c r="C212" i="1"/>
  <c r="C51" i="1"/>
  <c r="C53" i="1"/>
  <c r="C48" i="1"/>
  <c r="C52" i="1"/>
  <c r="C61" i="1"/>
  <c r="C59" i="1"/>
  <c r="C60" i="1"/>
  <c r="C58" i="1"/>
  <c r="C57" i="1"/>
  <c r="C42" i="1"/>
  <c r="C8" i="1"/>
  <c r="D42" i="1" l="1"/>
  <c r="B42" i="1"/>
  <c r="D38" i="1"/>
  <c r="B38" i="1"/>
  <c r="D59" i="1"/>
  <c r="B59" i="1"/>
  <c r="D51" i="1"/>
  <c r="B51" i="1"/>
  <c r="D207" i="1"/>
  <c r="B207" i="1"/>
  <c r="D60" i="1"/>
  <c r="B60" i="1"/>
  <c r="D50" i="1"/>
  <c r="B50" i="1"/>
  <c r="D53" i="1"/>
  <c r="B53" i="1"/>
  <c r="D206" i="1"/>
  <c r="B206" i="1"/>
  <c r="D40" i="1"/>
  <c r="B40" i="1"/>
  <c r="D58" i="1"/>
  <c r="B58" i="1"/>
  <c r="D37" i="1"/>
  <c r="B37" i="1"/>
  <c r="D9" i="1"/>
  <c r="B9" i="1"/>
  <c r="D57" i="1"/>
  <c r="B57" i="1"/>
  <c r="D48" i="1"/>
  <c r="B48" i="1"/>
  <c r="D39" i="1"/>
  <c r="B39" i="1"/>
  <c r="D52" i="1"/>
  <c r="B52" i="1"/>
  <c r="D49" i="1"/>
  <c r="B49" i="1"/>
  <c r="D8" i="1"/>
  <c r="B8" i="1"/>
  <c r="D55" i="1"/>
  <c r="B55" i="1"/>
  <c r="D61" i="1"/>
  <c r="B61" i="1"/>
  <c r="D208" i="1"/>
  <c r="B208" i="1"/>
  <c r="D210" i="1"/>
  <c r="B210" i="1"/>
  <c r="D209" i="1"/>
  <c r="B209" i="1"/>
  <c r="D211" i="1"/>
  <c r="B211" i="1"/>
  <c r="D54" i="1"/>
  <c r="B54" i="1"/>
  <c r="D216" i="1"/>
  <c r="B216" i="1"/>
  <c r="D217" i="1"/>
  <c r="B217" i="1"/>
  <c r="D219" i="1"/>
  <c r="B219" i="1"/>
  <c r="D218" i="1"/>
  <c r="B218" i="1"/>
  <c r="D221" i="1"/>
  <c r="B221" i="1"/>
  <c r="D220" i="1"/>
  <c r="B220" i="1"/>
  <c r="D222" i="1"/>
  <c r="B222" i="1"/>
  <c r="D212" i="1"/>
  <c r="B212" i="1"/>
  <c r="D214" i="1"/>
  <c r="B214" i="1"/>
  <c r="D213" i="1"/>
  <c r="B213" i="1"/>
  <c r="D215" i="1"/>
  <c r="B215" i="1"/>
  <c r="D10" i="1"/>
  <c r="B10" i="1"/>
  <c r="D56" i="1"/>
  <c r="B56" i="1"/>
  <c r="D198" i="1"/>
  <c r="B198" i="1"/>
  <c r="D260" i="1"/>
  <c r="B260" i="1"/>
  <c r="D12" i="1"/>
  <c r="B12" i="1"/>
  <c r="D41" i="1"/>
  <c r="B41" i="1"/>
  <c r="D18" i="1"/>
  <c r="B18" i="1"/>
  <c r="D4" i="1"/>
  <c r="B4" i="1"/>
  <c r="D199" i="1"/>
  <c r="B199" i="1"/>
  <c r="D14" i="1"/>
  <c r="B14" i="1"/>
  <c r="D15" i="1"/>
  <c r="B15" i="1"/>
  <c r="D16" i="1"/>
  <c r="B16" i="1"/>
  <c r="D17" i="1"/>
  <c r="B17" i="1"/>
  <c r="D19" i="1"/>
  <c r="B19" i="1"/>
  <c r="D20" i="1"/>
  <c r="B20" i="1"/>
  <c r="D200" i="1"/>
  <c r="B200" i="1"/>
  <c r="D3" i="1"/>
  <c r="B3" i="1"/>
  <c r="D184" i="1"/>
  <c r="B184" i="1"/>
  <c r="D43" i="1"/>
  <c r="B43" i="1"/>
  <c r="D44" i="1"/>
  <c r="B44" i="1"/>
  <c r="D45" i="1"/>
  <c r="B45" i="1"/>
  <c r="D5" i="1"/>
  <c r="B5" i="1"/>
  <c r="D6" i="1"/>
  <c r="B6" i="1"/>
  <c r="D185" i="1"/>
  <c r="B185" i="1"/>
  <c r="D228" i="1"/>
  <c r="B228" i="1"/>
  <c r="D46" i="1"/>
  <c r="B46" i="1"/>
  <c r="D47" i="1"/>
  <c r="B47" i="1"/>
  <c r="D7" i="1"/>
  <c r="B7" i="1"/>
  <c r="D230" i="1"/>
  <c r="B230" i="1"/>
  <c r="D229" i="1"/>
  <c r="B229" i="1"/>
  <c r="D268" i="1"/>
  <c r="B268" i="1"/>
  <c r="D234" i="1"/>
  <c r="B234" i="1"/>
  <c r="D21" i="1"/>
  <c r="B21" i="1"/>
  <c r="D270" i="1"/>
  <c r="B270" i="1"/>
  <c r="D231" i="1"/>
  <c r="B231" i="1"/>
  <c r="D201" i="1"/>
  <c r="B201" i="1"/>
  <c r="D62" i="1"/>
  <c r="B62" i="1"/>
  <c r="D31" i="1"/>
  <c r="B31" i="1"/>
  <c r="D232" i="1"/>
  <c r="B232" i="1"/>
  <c r="D233" i="1"/>
  <c r="B233" i="1"/>
  <c r="D272" i="1"/>
  <c r="B272" i="1"/>
  <c r="D271" i="1"/>
  <c r="B271" i="1"/>
  <c r="D63" i="1"/>
  <c r="B63" i="1"/>
  <c r="D236" i="1"/>
  <c r="B236" i="1"/>
  <c r="D237" i="1"/>
  <c r="B237" i="1"/>
  <c r="D275" i="1"/>
  <c r="B275" i="1"/>
  <c r="D276" i="1"/>
  <c r="B276" i="1"/>
  <c r="D273" i="1"/>
  <c r="B273" i="1"/>
  <c r="D64" i="1"/>
  <c r="B64" i="1"/>
  <c r="D274" i="1"/>
  <c r="B274" i="1"/>
  <c r="D235" i="1"/>
  <c r="B235" i="1"/>
  <c r="D277" i="1"/>
  <c r="B277" i="1"/>
  <c r="D238" i="1"/>
  <c r="B238" i="1"/>
  <c r="D278" i="1"/>
  <c r="B278" i="1"/>
  <c r="D239" i="1"/>
  <c r="B239" i="1"/>
  <c r="D240" i="1"/>
  <c r="B240" i="1"/>
  <c r="D279" i="1"/>
  <c r="B279" i="1"/>
  <c r="D66" i="1"/>
  <c r="B66" i="1"/>
  <c r="D281" i="1"/>
  <c r="B281" i="1"/>
  <c r="D187" i="1"/>
  <c r="B187" i="1"/>
  <c r="D280" i="1"/>
  <c r="B280" i="1"/>
  <c r="D142" i="1"/>
  <c r="B142" i="1"/>
  <c r="D32" i="1"/>
  <c r="B32" i="1"/>
  <c r="D241" i="1"/>
  <c r="B241" i="1"/>
  <c r="D65" i="1"/>
  <c r="B65" i="1"/>
  <c r="D242" i="1"/>
  <c r="B242" i="1"/>
  <c r="D186" i="1"/>
  <c r="B186" i="1"/>
  <c r="D282" i="1"/>
  <c r="B282" i="1"/>
  <c r="D70" i="1"/>
  <c r="B70" i="1"/>
  <c r="D261" i="1"/>
  <c r="B261" i="1"/>
  <c r="D71" i="1"/>
  <c r="B71" i="1"/>
  <c r="D67" i="1"/>
  <c r="B67" i="1"/>
  <c r="D283" i="1"/>
  <c r="B283" i="1"/>
  <c r="D284" i="1"/>
  <c r="B284" i="1"/>
  <c r="D285" i="1"/>
  <c r="B285" i="1"/>
  <c r="D202" i="1"/>
  <c r="B202" i="1"/>
  <c r="D243" i="1"/>
  <c r="B243" i="1"/>
  <c r="D262" i="1"/>
  <c r="B262" i="1"/>
  <c r="D143" i="1"/>
  <c r="B143" i="1"/>
  <c r="D263" i="1"/>
  <c r="B263" i="1"/>
  <c r="D286" i="1"/>
  <c r="B286" i="1"/>
  <c r="D287" i="1"/>
  <c r="B287" i="1"/>
  <c r="D68" i="1"/>
  <c r="B68" i="1"/>
  <c r="D69" i="1"/>
  <c r="B69" i="1"/>
  <c r="D299" i="1"/>
  <c r="B299" i="1"/>
  <c r="D289" i="1"/>
  <c r="B289" i="1"/>
  <c r="D298" i="1"/>
  <c r="B298" i="1"/>
  <c r="D189" i="1"/>
  <c r="B189" i="1"/>
  <c r="D203" i="1"/>
  <c r="B203" i="1"/>
  <c r="D204" i="1"/>
  <c r="B204" i="1"/>
  <c r="D331" i="1"/>
  <c r="B331" i="1"/>
  <c r="D30" i="1"/>
  <c r="B30" i="1"/>
  <c r="D245" i="1"/>
  <c r="B245" i="1"/>
  <c r="D72" i="1"/>
  <c r="B72" i="1"/>
  <c r="D34" i="1"/>
  <c r="B34" i="1"/>
  <c r="D288" i="1"/>
  <c r="B288" i="1"/>
  <c r="D290" i="1"/>
  <c r="B290" i="1"/>
  <c r="D291" i="1"/>
  <c r="B291" i="1"/>
  <c r="D292" i="1"/>
  <c r="B292" i="1"/>
  <c r="D144" i="1"/>
  <c r="B144" i="1"/>
  <c r="D294" i="1"/>
  <c r="B294" i="1"/>
  <c r="D295" i="1"/>
  <c r="B295" i="1"/>
  <c r="D73" i="1"/>
  <c r="B73" i="1"/>
  <c r="D145" i="1"/>
  <c r="B145" i="1"/>
  <c r="D74" i="1"/>
  <c r="B74" i="1"/>
  <c r="D332" i="1"/>
  <c r="B332" i="1"/>
  <c r="D244" i="1"/>
  <c r="B244" i="1"/>
  <c r="D296" i="1"/>
  <c r="B296" i="1"/>
  <c r="D297" i="1"/>
  <c r="B297" i="1"/>
  <c r="D182" i="1"/>
  <c r="B182" i="1"/>
  <c r="D188" i="1"/>
  <c r="B188" i="1"/>
  <c r="D227" i="1"/>
  <c r="B227" i="1"/>
  <c r="D304" i="1"/>
  <c r="B304" i="1"/>
  <c r="D305" i="1"/>
  <c r="B305" i="1"/>
  <c r="D192" i="1"/>
  <c r="B192" i="1"/>
  <c r="D75" i="1"/>
  <c r="B75" i="1"/>
  <c r="D300" i="1"/>
  <c r="B300" i="1"/>
  <c r="D301" i="1"/>
  <c r="B301" i="1"/>
  <c r="D76" i="1"/>
  <c r="B76" i="1"/>
  <c r="D35" i="1"/>
  <c r="B35" i="1"/>
  <c r="D223" i="1"/>
  <c r="B223" i="1"/>
  <c r="D246" i="1"/>
  <c r="B246" i="1"/>
  <c r="D264" i="1"/>
  <c r="B264" i="1"/>
  <c r="D265" i="1"/>
  <c r="B265" i="1"/>
  <c r="D302" i="1"/>
  <c r="B302" i="1"/>
  <c r="D190" i="1"/>
  <c r="B190" i="1"/>
  <c r="D303" i="1"/>
  <c r="B303" i="1"/>
  <c r="D191" i="1"/>
  <c r="B191" i="1"/>
  <c r="D224" i="1"/>
  <c r="B224" i="1"/>
  <c r="D247" i="1"/>
  <c r="B247" i="1"/>
  <c r="D311" i="1"/>
  <c r="B311" i="1"/>
  <c r="D249" i="1"/>
  <c r="B249" i="1"/>
  <c r="D146" i="1"/>
  <c r="B146" i="1"/>
  <c r="D82" i="1"/>
  <c r="B82" i="1"/>
  <c r="D22" i="1"/>
  <c r="B22" i="1"/>
  <c r="D23" i="1"/>
  <c r="B23" i="1"/>
  <c r="D312" i="1"/>
  <c r="B312" i="1"/>
  <c r="D83" i="1"/>
  <c r="B83" i="1"/>
  <c r="D266" i="1"/>
  <c r="B266" i="1"/>
  <c r="D84" i="1"/>
  <c r="B84" i="1"/>
  <c r="D183" i="1"/>
  <c r="B183" i="1"/>
  <c r="D147" i="1"/>
  <c r="B147" i="1"/>
  <c r="D2" i="1"/>
  <c r="B2" i="1"/>
  <c r="D24" i="1"/>
  <c r="B24" i="1"/>
  <c r="D306" i="1"/>
  <c r="B306" i="1"/>
  <c r="D307" i="1"/>
  <c r="B307" i="1"/>
  <c r="D36" i="1"/>
  <c r="B36" i="1"/>
  <c r="D148" i="1"/>
  <c r="B148" i="1"/>
  <c r="D193" i="1"/>
  <c r="B193" i="1"/>
  <c r="D248" i="1"/>
  <c r="B248" i="1"/>
  <c r="D149" i="1"/>
  <c r="B149" i="1"/>
  <c r="D77" i="1"/>
  <c r="B77" i="1"/>
  <c r="D308" i="1"/>
  <c r="B308" i="1"/>
  <c r="D78" i="1"/>
  <c r="B78" i="1"/>
  <c r="D309" i="1"/>
  <c r="B309" i="1"/>
  <c r="D152" i="1"/>
  <c r="B152" i="1"/>
  <c r="D150" i="1"/>
  <c r="B150" i="1"/>
  <c r="D151" i="1"/>
  <c r="B151" i="1"/>
  <c r="D79" i="1"/>
  <c r="B79" i="1"/>
  <c r="D80" i="1"/>
  <c r="B80" i="1"/>
  <c r="D205" i="1"/>
  <c r="B205" i="1"/>
  <c r="D310" i="1"/>
  <c r="B310" i="1"/>
  <c r="D81" i="1"/>
  <c r="B81" i="1"/>
  <c r="D105" i="1"/>
  <c r="B105" i="1"/>
  <c r="D90" i="1"/>
  <c r="B90" i="1"/>
  <c r="D153" i="1"/>
  <c r="B153" i="1"/>
  <c r="D25" i="1"/>
  <c r="B25" i="1"/>
  <c r="D155" i="1"/>
  <c r="B155" i="1"/>
  <c r="D253" i="1"/>
  <c r="B253" i="1"/>
  <c r="D104" i="1"/>
  <c r="B104" i="1"/>
  <c r="D315" i="1"/>
  <c r="B315" i="1"/>
  <c r="D254" i="1"/>
  <c r="B254" i="1"/>
  <c r="D255" i="1"/>
  <c r="B255" i="1"/>
  <c r="D106" i="1"/>
  <c r="B106" i="1"/>
  <c r="D107" i="1"/>
  <c r="B107" i="1"/>
  <c r="D154" i="1"/>
  <c r="B154" i="1"/>
  <c r="D156" i="1"/>
  <c r="B156" i="1"/>
  <c r="D85" i="1"/>
  <c r="B85" i="1"/>
  <c r="D86" i="1"/>
  <c r="B86" i="1"/>
  <c r="D87" i="1"/>
  <c r="B87" i="1"/>
  <c r="D157" i="1"/>
  <c r="B157" i="1"/>
  <c r="D88" i="1"/>
  <c r="B88" i="1"/>
  <c r="D89" i="1"/>
  <c r="B89" i="1"/>
  <c r="D250" i="1"/>
  <c r="B250" i="1"/>
  <c r="D158" i="1"/>
  <c r="B158" i="1"/>
  <c r="D91" i="1"/>
  <c r="B91" i="1"/>
  <c r="D92" i="1"/>
  <c r="B92" i="1"/>
  <c r="D93" i="1"/>
  <c r="B93" i="1"/>
  <c r="D159" i="1"/>
  <c r="B159" i="1"/>
  <c r="D160" i="1"/>
  <c r="B160" i="1"/>
  <c r="D313" i="1"/>
  <c r="B313" i="1"/>
  <c r="D94" i="1"/>
  <c r="B94" i="1"/>
  <c r="D95" i="1"/>
  <c r="B95" i="1"/>
  <c r="D161" i="1"/>
  <c r="B161" i="1"/>
  <c r="D162" i="1"/>
  <c r="B162" i="1"/>
  <c r="D96" i="1"/>
  <c r="B96" i="1"/>
  <c r="D97" i="1"/>
  <c r="B97" i="1"/>
  <c r="D163" i="1"/>
  <c r="B163" i="1"/>
  <c r="D98" i="1"/>
  <c r="B98" i="1"/>
  <c r="D33" i="1"/>
  <c r="B33" i="1"/>
  <c r="D164" i="1"/>
  <c r="B164" i="1"/>
  <c r="D165" i="1"/>
  <c r="B165" i="1"/>
  <c r="D99" i="1"/>
  <c r="B99" i="1"/>
  <c r="D166" i="1"/>
  <c r="B166" i="1"/>
  <c r="D100" i="1"/>
  <c r="B100" i="1"/>
  <c r="D251" i="1"/>
  <c r="B251" i="1"/>
  <c r="D101" i="1"/>
  <c r="B101" i="1"/>
  <c r="D252" i="1"/>
  <c r="B252" i="1"/>
  <c r="D102" i="1"/>
  <c r="B102" i="1"/>
  <c r="D167" i="1"/>
  <c r="B167" i="1"/>
  <c r="D103" i="1"/>
  <c r="B103" i="1"/>
  <c r="D314" i="1"/>
  <c r="B314" i="1"/>
  <c r="D168" i="1"/>
  <c r="B168" i="1"/>
  <c r="D169" i="1"/>
  <c r="B169" i="1"/>
  <c r="D120" i="1"/>
  <c r="B120" i="1"/>
  <c r="D225" i="1"/>
  <c r="B225" i="1"/>
  <c r="D196" i="1"/>
  <c r="B196" i="1"/>
  <c r="D321" i="1"/>
  <c r="B321" i="1"/>
  <c r="D128" i="1"/>
  <c r="B128" i="1"/>
  <c r="D129" i="1"/>
  <c r="B129" i="1"/>
  <c r="D170" i="1"/>
  <c r="B170" i="1"/>
  <c r="D322" i="1"/>
  <c r="B322" i="1"/>
  <c r="D257" i="1"/>
  <c r="B257" i="1"/>
  <c r="D323" i="1"/>
  <c r="B323" i="1"/>
  <c r="D324" i="1"/>
  <c r="B324" i="1"/>
  <c r="D325" i="1"/>
  <c r="B325" i="1"/>
  <c r="D171" i="1"/>
  <c r="B171" i="1"/>
  <c r="D172" i="1"/>
  <c r="B172" i="1"/>
  <c r="D326" i="1"/>
  <c r="B326" i="1"/>
  <c r="D130" i="1"/>
  <c r="B130" i="1"/>
  <c r="D327" i="1"/>
  <c r="B327" i="1"/>
  <c r="D197" i="1"/>
  <c r="B197" i="1"/>
  <c r="D328" i="1"/>
  <c r="B328" i="1"/>
  <c r="D131" i="1"/>
  <c r="B131" i="1"/>
  <c r="D194" i="1"/>
  <c r="B194" i="1"/>
  <c r="D173" i="1"/>
  <c r="B173" i="1"/>
  <c r="D108" i="1"/>
  <c r="B108" i="1"/>
  <c r="D109" i="1"/>
  <c r="B109" i="1"/>
  <c r="D110" i="1"/>
  <c r="B110" i="1"/>
  <c r="D111" i="1"/>
  <c r="B111" i="1"/>
  <c r="D112" i="1"/>
  <c r="B112" i="1"/>
  <c r="D113" i="1"/>
  <c r="B113" i="1"/>
  <c r="D316" i="1"/>
  <c r="B316" i="1"/>
  <c r="D267" i="1"/>
  <c r="B267" i="1"/>
  <c r="D317" i="1"/>
  <c r="B317" i="1"/>
  <c r="D318" i="1"/>
  <c r="B318" i="1"/>
  <c r="D114" i="1"/>
  <c r="B114" i="1"/>
  <c r="D174" i="1"/>
  <c r="B174" i="1"/>
  <c r="D115" i="1"/>
  <c r="B115" i="1"/>
  <c r="D319" i="1"/>
  <c r="B319" i="1"/>
  <c r="D116" i="1"/>
  <c r="B116" i="1"/>
  <c r="B134" i="1"/>
  <c r="D134" i="1"/>
  <c r="B133" i="1"/>
  <c r="D133" i="1"/>
  <c r="B132" i="1"/>
  <c r="D132" i="1"/>
  <c r="B226" i="1"/>
  <c r="D226" i="1"/>
  <c r="B141" i="1"/>
  <c r="D141" i="1"/>
  <c r="B259" i="1"/>
  <c r="D259" i="1"/>
  <c r="B258" i="1"/>
  <c r="D258" i="1"/>
  <c r="B330" i="1"/>
  <c r="D330" i="1"/>
  <c r="B140" i="1"/>
  <c r="D140" i="1"/>
  <c r="B139" i="1"/>
  <c r="D139" i="1"/>
  <c r="B138" i="1"/>
  <c r="D138" i="1"/>
  <c r="B137" i="1"/>
  <c r="D137" i="1"/>
  <c r="B181" i="1"/>
  <c r="D181" i="1"/>
  <c r="B136" i="1"/>
  <c r="D136" i="1"/>
  <c r="B135" i="1"/>
  <c r="D135" i="1"/>
  <c r="B329" i="1"/>
  <c r="D329" i="1"/>
  <c r="B27" i="1"/>
  <c r="D27" i="1"/>
  <c r="B180" i="1"/>
  <c r="D180" i="1"/>
  <c r="B179" i="1"/>
  <c r="D179" i="1"/>
  <c r="B127" i="1"/>
  <c r="D127" i="1"/>
  <c r="B126" i="1"/>
  <c r="D126" i="1"/>
  <c r="B125" i="1"/>
  <c r="D125" i="1"/>
  <c r="B320" i="1"/>
  <c r="D320" i="1"/>
  <c r="B178" i="1"/>
  <c r="D178" i="1"/>
  <c r="B124" i="1"/>
  <c r="D124" i="1"/>
  <c r="B123" i="1"/>
  <c r="D123" i="1"/>
  <c r="B122" i="1"/>
  <c r="D122" i="1"/>
  <c r="B121" i="1"/>
  <c r="D121" i="1"/>
  <c r="B256" i="1"/>
  <c r="D256" i="1"/>
  <c r="B177" i="1"/>
  <c r="D177" i="1"/>
  <c r="B176" i="1"/>
  <c r="D176" i="1"/>
  <c r="B175" i="1"/>
  <c r="D175" i="1"/>
  <c r="B195" i="1"/>
  <c r="D195" i="1"/>
  <c r="B119" i="1"/>
  <c r="D119" i="1"/>
  <c r="B118" i="1"/>
  <c r="D118" i="1"/>
  <c r="B117" i="1"/>
  <c r="D117" i="1"/>
</calcChain>
</file>

<file path=xl/sharedStrings.xml><?xml version="1.0" encoding="utf-8"?>
<sst xmlns="http://schemas.openxmlformats.org/spreadsheetml/2006/main" count="677" uniqueCount="328">
  <si>
    <t>Office of Engineering and Technology</t>
  </si>
  <si>
    <t>Media Bureau</t>
  </si>
  <si>
    <t>Wireless Telecommunications Bureau</t>
  </si>
  <si>
    <t>General (Multiple Bureaus)</t>
  </si>
  <si>
    <t>Public Safety and Homeland Security</t>
  </si>
  <si>
    <t>Wireline Competition Bureau</t>
  </si>
  <si>
    <t>Consumer and Governmental Affairs Bureau</t>
  </si>
  <si>
    <t>Time Warner Cable Inc.</t>
  </si>
  <si>
    <t>CoxCom LLC d/a/b Cox Communications Gainsville/Ocala and Cox Communications Gulf Coast, LLC</t>
  </si>
  <si>
    <t>WLNY-TV , Inc.</t>
  </si>
  <si>
    <t>Comcast Cable Communications, LLC</t>
  </si>
  <si>
    <t>CELLCO PARTNERSHIP D/B/A VERIZON WIRELESS, CINCINNATI BELL WIRELESS LLC, GRAIN SPECTRUM III, LLC, AND GRAIN SPECTRUM IV, LLC</t>
  </si>
  <si>
    <t>Comment Sought on AAR and National Frequency Coordination LLC Requests</t>
  </si>
  <si>
    <t>Comments Invited On Application Of AT&amp;T Services, Inc. On Behalf Of SNET America, Inc. D/B/A AT&amp;T Long Distance East To Discontinue Domestic Telecommunications Services</t>
  </si>
  <si>
    <t>Special Relief and Show Cause Petitions</t>
  </si>
  <si>
    <t>Dayton, Washington</t>
  </si>
  <si>
    <t>Rhonda Rivenburg</t>
  </si>
  <si>
    <t>FM Table of Allotments, Haynesville,</t>
  </si>
  <si>
    <t>Amendment of FM Table of Allotments, Dayton, Washington</t>
  </si>
  <si>
    <t>Buckeye Cablevision</t>
  </si>
  <si>
    <t>Cox Communications California, LLC</t>
  </si>
  <si>
    <t>PETITION OF CENTURYLINK, INC. FOR CONVERSION OF AVERAGE SCHEDULE AFFILIATES TO PRICE CAP REGULATION AND FOR LIMITED WAIVER RELIEF</t>
  </si>
  <si>
    <t>Consumer and Governmental Affairs Bureau Announces Workshop on Research Initiative on IP-Based Relay Technologies</t>
  </si>
  <si>
    <t>FM Table of Allotments, Haynesville, Louisiana</t>
  </si>
  <si>
    <t>Post-Transition Table of DTV Allotments, South Bend, Indiana</t>
  </si>
  <si>
    <t>WNWO Licensee, LLC</t>
  </si>
  <si>
    <t>National Exchange Carrier Association, Inc.'s 2014 Modification of Averagte Schedule</t>
  </si>
  <si>
    <t>Post-Transition Table of DTV Allotments, Oklahoma City, Oklahoma</t>
  </si>
  <si>
    <t>Auctions</t>
  </si>
  <si>
    <t>FM Table of Allotments, Evart and Ludington, Michigan</t>
  </si>
  <si>
    <t>FM Table of Allotments, Bruce, Mississippi</t>
  </si>
  <si>
    <t>Hawaii Catholic TV, Inc. (KUPU(DT))</t>
  </si>
  <si>
    <t>FM Table of Allotments, Tohatchi, NM</t>
  </si>
  <si>
    <t>Comment Sought On Scoping Document For Development Of A Proposed Program Comment To Govern Review Of Positive Train Control Facilities Under Section 106 Of The National Historic Preservation Act</t>
  </si>
  <si>
    <t>FM Table of Allotments, Tohatchi, New Mexico</t>
  </si>
  <si>
    <t>Comments Sought on LAB application to be Test Lab Accreditation Body</t>
  </si>
  <si>
    <t>FM Table of Allotments, Herber Springs, Arkansas</t>
  </si>
  <si>
    <t>MB Announces Filing of Apps seeking Consent to the Proposed Merger of Media General Communications Holdings, LLC and New Young Broadcasting Holding Co., Inc.</t>
  </si>
  <si>
    <t>Echostar's Petition for Waiver</t>
  </si>
  <si>
    <t>Comments Invited On Application Of AT&amp;T Services, Inc. On Behalf Of BellSouth Telecommunications, LLC D/B/A AT&amp;T Southeast To Discontinue Domestic Telecommunications Services</t>
  </si>
  <si>
    <t>Samsung Electronics America</t>
  </si>
  <si>
    <t>FM Table of Allotments, Heber Springs, Arkansas</t>
  </si>
  <si>
    <t>FM Table of Allotments</t>
  </si>
  <si>
    <t>In the Matter of MexTel Corporation, LLC d/b/a LifeTel and UTPhone, Inc.</t>
  </si>
  <si>
    <t>In the Matter of MexTel Corporation, LLC d/b/a LifeTel and TerraCom, Inc.</t>
  </si>
  <si>
    <t>Encryption of Amateur Radio Communications</t>
  </si>
  <si>
    <t>In the Matter of Birch Communications, Inc. and Ernest Communications, Inc.</t>
  </si>
  <si>
    <t>Cebridge Acquisition, L.P. d/b/a Suddenlink Communications</t>
  </si>
  <si>
    <t>Gray Television Licensee, LLC</t>
  </si>
  <si>
    <t>Enforcement Bureau</t>
  </si>
  <si>
    <t>Catamount Broadcasting of Chico-Redding, Inc. and Chico License, LL</t>
  </si>
  <si>
    <t>FM Table of Allotments, Moran, Texas</t>
  </si>
  <si>
    <t>Office of Engineering and Technology Invites Comments on Technological Advisory Council (TAC) White Paper and Recommendations for Improving Receiver Performance</t>
  </si>
  <si>
    <t>Gray Television Licensee, LLC (KSNB-TV)</t>
  </si>
  <si>
    <t>Comments Invited On Application Of TW Telecom Of Oklahoma LLC To Discontinue Domestic Telecommunications Services</t>
  </si>
  <si>
    <t>OET Declares the Spectrum Bridge, Inc. and Meld Technologies, Inc., Request for a Waiver of Sections 15.711(b)(2) and 15.711(b)(3)(ii) of the Rules to be a 'Permit-But-Disclose' Proceeding for Ex Parte Purposes and Request Comment</t>
  </si>
  <si>
    <t>Comments Invited On Application Of Verizon Select Services Inc. To Discontinue Domestic Telecommunications Services</t>
  </si>
  <si>
    <t>Applications Filed for the Transfer of Control of Bresnan Holdings, LLC to Charter Communications, Inc.</t>
  </si>
  <si>
    <t>Comments Invited On Application Of XO Communications, LLC To Discontinue Domestic Telecommunications Services</t>
  </si>
  <si>
    <t>Reallocation of Channel 2 from Jackson, Wyoming to Wilmington, Delaware, Amendment of Section 73.622(i), Post-Transition Table of DTV Allotments, Television Braodcast Stations</t>
  </si>
  <si>
    <t>Sure West Telephone Petition</t>
  </si>
  <si>
    <t>Section 63.71 Application of Insight Phone of Ohio, LLC for Authority to Discontinue Certain U.S. Domestic Telecommunications Services</t>
  </si>
  <si>
    <t>In the matter of UniTek, Inc. MBOTek, Inc. UniTel, Inc. and UniCap, Inc. for the Transfer of Control of UniTel, Inc. and UniCap, Inc.</t>
  </si>
  <si>
    <t>AT&amp;T INC., CELLCO PARTNERSHIP D/B/A VERIZON WIRELESS, GRAIN SPECTRUM, LLC, AND GRAIN SPECTRUM II, LLC</t>
  </si>
  <si>
    <t>In the Matter of Hector Communications Corporation to Blue Earth Valley Communication, Inc.</t>
  </si>
  <si>
    <t>FM Table of Allotments, Mataforda, TX</t>
  </si>
  <si>
    <t>Media Bureau Announces Filing of Request for Clarification of the Commission's Policies and Procedures Under 47 U.S.C. 310 (b)(4) by the Coalition for Broadcast Investment</t>
  </si>
  <si>
    <t>Pleading Cycle Established for USTA Petition for Wavier of Requirements in Section 61.49(K) of the Commission's Rules for Short Form Tariff Review Plans</t>
  </si>
  <si>
    <t>Commission Seeks Public Comment in 2012 Biennial Review of Telecommunications Regulations</t>
  </si>
  <si>
    <t>Amendment of FM Table of Allotments, Pearsall, Texas</t>
  </si>
  <si>
    <t>FM Table of Allotments, Peach Springs, Arizona</t>
  </si>
  <si>
    <t>2013 Modification of Average Schedules</t>
  </si>
  <si>
    <t>Western Pacific Broadcast, LLC (WACP-TV) v. Armstrong Utilities</t>
  </si>
  <si>
    <t>FM Table of Allotments, Dove Creek, CO</t>
  </si>
  <si>
    <t>Wireless Telecommunications Bureau Seeks Comment on LL License Holdings, LLC Request for One Additional Year to Meet Tribal Lands Construction Requirement</t>
  </si>
  <si>
    <t>Time Warner NY Cable Inc. d/b/a Time Warner Cable</t>
  </si>
  <si>
    <t>FM Table of Allotments, Maysville, GA</t>
  </si>
  <si>
    <t>FM Table of Allotments (Centerville and Midway, Texas)</t>
  </si>
  <si>
    <t>FM Table of Allotments, Crownpoint, New Mexico</t>
  </si>
  <si>
    <t>FM Table of Allotments, Maysville, Georgia</t>
  </si>
  <si>
    <t>Amendment of Part 1</t>
  </si>
  <si>
    <t>Table of Allotments, Tignall, GA</t>
  </si>
  <si>
    <t>FM Table of Allotments, Tignall, GA</t>
  </si>
  <si>
    <t>FM Table of Allotments, Roaring Springs, TX</t>
  </si>
  <si>
    <t>FM Table Allotments,  Knox City, TX</t>
  </si>
  <si>
    <t>FM Table of Allotments, Roaring Springs, Texas</t>
  </si>
  <si>
    <t>FM Table of Allotments, Knox City, Texas</t>
  </si>
  <si>
    <t>FM Table of Allotments, Greenup, Illinois</t>
  </si>
  <si>
    <t>Time Warner Entertainment Co. L.P.</t>
  </si>
  <si>
    <t>Domestic Section 214 Application filed for the Transfer of Control of Cequel Communications Holdings, LLC to Nespresso Acquisition Corporation</t>
  </si>
  <si>
    <t>Amendment of FM Table of Allotments</t>
  </si>
  <si>
    <t>Mauna Kea Broadcasting Company</t>
  </si>
  <si>
    <t>Amendment of Section 73.202(b), FM Table of Allotments, FM Broadcast Stations, (Randsburg, California)</t>
  </si>
  <si>
    <t>MAUNA KEA BROADCASTING COMPANY(KLEI(DT))/HONOLULU, HI</t>
  </si>
  <si>
    <t>Amendment to the FM Table of Allotments, Section 73.202(b), China Lake &amp; Randsburg, California</t>
  </si>
  <si>
    <t>WTB seeks information from the public for report to Congress on Microwave Bands</t>
  </si>
  <si>
    <t>Amendment of Section 73.202(b), Table of Allotments, FM Broadcast Stations, (Asbury, Iowa)</t>
  </si>
  <si>
    <t>Time Warner Cable, Inc.(Town of Briston, &amp; Village of Silver Lake and Twin Lakes, WI)</t>
  </si>
  <si>
    <t>Amendment of the DTV Table of Allotments</t>
  </si>
  <si>
    <t>In the Matter of Amendment of Section 73.622(i), Post-Transition Table of DTV Allotments, Television Broadcast Stations(Greenville, North Carolina)</t>
  </si>
  <si>
    <t>Comcast Cable Communications, LLC(Media, PA)</t>
  </si>
  <si>
    <t>Amendment to Section 73.202(b) Table of Allotments, FM Broadcast Stations. (Saint Paul, Arkansas; Crystal Falls, Michigan; Alberton, Montana; and Waitsburg, Washington)</t>
  </si>
  <si>
    <t>Mass Media Bureau</t>
  </si>
  <si>
    <t>Permit Orignation of Programming on FM Booster Stations</t>
  </si>
  <si>
    <t>Amendment of 73.202(b), Table of Allotments</t>
  </si>
  <si>
    <t>Amendment of Section 73.202(b)FM Table of Allotments, FM Broadcast Stations.(Centerville and Midway, Texas)</t>
  </si>
  <si>
    <t>George S. Finn, Jr.(Mobile,AL, Pensacola,(Ft. Walton Beach),FL</t>
  </si>
  <si>
    <t>Wireless Telecommunications Bureau Seeks Comments on Request By Sprint Nextel Corporation For Waiver Section 90.209 Of The Commission Rules</t>
  </si>
  <si>
    <t>Improving Spectrum Efficiency Through Flexible Channel Spacing and Bandwidth Utilization for Economic Area-based 800 MHz Specialized Mobile Radio Licensees</t>
  </si>
  <si>
    <t>Pleading Cycle Established For Comments on CenturyLink Petition for Forbearance From Dominant Carrier And Certain Computer Inquiry Requirements on Enterprise Broadband Services</t>
  </si>
  <si>
    <t>Amendment of Section 73.202(b), Table of Allotments, FM Broadcast Stations. (Dermott, Arkansas, and Cleveland, Mississippi)</t>
  </si>
  <si>
    <t>Wireless Telecommunications Bureau Seeks Comment On Request By Altaphon, Inc for Waiver Of Certain Paging And Radiotelephone Service Rules</t>
  </si>
  <si>
    <t>Amendment of 73.202(b)FM Table of Allotments FM Broadcast Stations(Moulton, Texas)</t>
  </si>
  <si>
    <t>Consumer And Governmental Affairs Bureau Seeks Comments on Termination Of Certain Proceedings As Dormant</t>
  </si>
  <si>
    <t>Time Warner Cable, Inc,(CSR)  Island of Hawaii(Franchise Area)</t>
  </si>
  <si>
    <t>Time Warner Cable Inc, (CSR)  Island of Hawaii</t>
  </si>
  <si>
    <t>Amendment of Section 73.202(b),Table of Allotments, FM Broadcast Stations. (Ehrenberg, First Mesa, Kachina Village, Wickenburg, and Williams, Arizona)</t>
  </si>
  <si>
    <t>Office of General Counsel</t>
  </si>
  <si>
    <t>Amendment of Section 73.622 (i)  Post Transition Table of DTV Allotment  Television Broadcast Stations</t>
  </si>
  <si>
    <t>Amendment of FM Table Allotments</t>
  </si>
  <si>
    <t>Amendment of Section 73.622 (i), Post-Transition Table of DTV Allotments, Television Broadcast Station</t>
  </si>
  <si>
    <t>Amendment of Section 73.622(i),Post-Transition Table of DTV Allotments, Television Broadcast Stations (Hampton-Norfolk, Virginia; Norfolk, Viriginia-Elizabeth City, North Carolina</t>
  </si>
  <si>
    <t>Amendment of Section 73.202(b), FM Table of Allotments, FM Broadcast Stations (Pike Road, Alabama)</t>
  </si>
  <si>
    <t>Amendment of Section 73.202(b), FM Table of Allotments, FM Broadcast Stations (Gearhart, Oregon)</t>
  </si>
  <si>
    <t>Amendment of Part 97</t>
  </si>
  <si>
    <t>Office of Communications and Business Op</t>
  </si>
  <si>
    <t>Amendment of Section 73.622(i), Post-Transition Table of DTV Allotments (Augusta, Georgia)</t>
  </si>
  <si>
    <t>Amendment of Section 73.215 of the Commission's Rules</t>
  </si>
  <si>
    <t>Amendment of Part 90 of the Commission's Rules</t>
  </si>
  <si>
    <t>Amend Part 90.103(b)</t>
  </si>
  <si>
    <t>Applications of Tribune Company for Consent to Assignment of Broadcast Station Licenses</t>
  </si>
  <si>
    <t>Access to the Network Outage Reporting System ('NORS')</t>
  </si>
  <si>
    <t>Reducing Universal Service Support</t>
  </si>
  <si>
    <t>Amendment of Section 73.202(b) of the FM Table of Allotments</t>
  </si>
  <si>
    <t>Modification of Section 73.182(q)</t>
  </si>
  <si>
    <t>Telecommunications Relay Services and Speech-to-Speech Services for Individuals with hearing and speech disabilities.  Petition for New Rule on VRS Number Porting</t>
  </si>
  <si>
    <t>Amendment to Section 54.403</t>
  </si>
  <si>
    <t>Amend Section 90</t>
  </si>
  <si>
    <t>Amendment to Section 15.247(a)(2)</t>
  </si>
  <si>
    <t>Application filed for the transfer of control of Embarq Corporation to CenturyTel Inc.</t>
  </si>
  <si>
    <t>Amendment of Sections 87.131, 87.133, 87.137, 87.173, 87.345 and 87.349</t>
  </si>
  <si>
    <t>Amendment to the FM Table of Allotments</t>
  </si>
  <si>
    <t>Pursuant to Sections 1, 4(i), 201(b), 202(a), 303(r) and 307(b) of the Communications Act</t>
  </si>
  <si>
    <t>Amendment to Part 15, Subpart D</t>
  </si>
  <si>
    <t>Application filed for the transfer of certain assets from Time Warner Inc., to Time Warner Cable,Inc.</t>
  </si>
  <si>
    <t>Amendment of Section 73.622(i), Fianl DTV Table of Allotments, Television Broadcast Stations</t>
  </si>
  <si>
    <t>Amendment to Parts 101.109 &amp; 101.147</t>
  </si>
  <si>
    <t>Amendment of the FM Table of Allotments</t>
  </si>
  <si>
    <t>Pleading Cycle established for comments on the U.S. Department of Health and Human Services  substance adbuse and Mental Health Services Administration's petition for the permanent   reassignment of Three Toll-free Suicide prevention Hotline numbers. .</t>
  </si>
  <si>
    <t>Office of Engineering and Technology declares the Los Angeles Sheriff's Department request  for waiver of section 15.231 to be a 'Permit-But-Disclose' proceesding for Ex Parte purposes   and requests comments.</t>
  </si>
  <si>
    <t>Increasing Flexibility to Promote Access to and the Efficient and Intensive Use of Spectrum   and the Widespread Deployment of Wireless Services, and To Facilitate Capital Formation</t>
  </si>
  <si>
    <t>Amendment of the Commission's Rules to Pemit  New York  Metropolitan Area Public Safety   Agencies to Use Frequencies at 482-488 MHz</t>
  </si>
  <si>
    <t>In the Matter of the Commission's Rules to Promote the Use of VHF Public Coast Station Frequencies</t>
  </si>
  <si>
    <t>Comments Requested on the Application by Qwest</t>
  </si>
  <si>
    <t>E911 Richardson Certifications</t>
  </si>
  <si>
    <t>In the Matter of Application for Provision of In-Region, InterLATA Services in Nevada</t>
  </si>
  <si>
    <t>Service Rules for Use of the 71-76 GHz, 81-86 GHz and 92-95 GHz Bands</t>
  </si>
  <si>
    <t>Amendment of Parts of the Commission's Rules With Regard to Licensing in the Multipoint Distribution Service and in the Instructional Television Fixed Service for the Gulf of Mexico</t>
  </si>
  <si>
    <t>Common Carrier Bureau</t>
  </si>
  <si>
    <t>Application by Verizon New England Inc., Bell Atlantic Communications, Inc. (d/b/a Verizon Long Distance), NYNEX Long Distance Company (d/b/a Verizon Enterprise Solutions), Verizon Global Networks Inc., for Authorization To Provide In-Region, InterLATA</t>
  </si>
  <si>
    <t>Cable Services Bureau</t>
  </si>
  <si>
    <t>In the Matter of Rules and Policies Concerning Multiple Ownership of Radio Broadcast Stations in Local Markets</t>
  </si>
  <si>
    <t>Status Report on Licensing and Service Issues and Deployment Strategies for DSRC-Based Intelligent Transportation Services in the 5.850 - 5.925 GHz Band</t>
  </si>
  <si>
    <t>Application  by Verizon New England Inc., Bell Atlantic Comunication, Inc. (d/b/a Verizon Long Distance), NYNEX Long Distance Company (d/b/a Verizon Enterprise Solutions), and Verizon Global Networks Inc. for Authorization To Provide In-Region, InterLATA</t>
  </si>
  <si>
    <t>In the Matter of Adoption of Subpart G, Section of the Commission's Rules</t>
  </si>
  <si>
    <t>In the Matter of Definition of Radio Markets</t>
  </si>
  <si>
    <t>In the Matter of Establishment of an Improved Model for Predicting the Broadcast Television Field Strength Received at Individual Locations</t>
  </si>
  <si>
    <t>In the Matter of Amendment of Section of the Commission's Rules to include Merced and Porterville, California in the Fresno-Visalia-Hanford-Clovis Television Market</t>
  </si>
  <si>
    <t>In the Matter of Closed Captioning Requirements for Digital Television Receivers</t>
  </si>
  <si>
    <t>In the Matter of Petition of SBC Communications Inc and Its Affiliates Southwestern Bell Telephone Company, Pacific Bell, Neveda Bell, and Southern New England Telephone Company for Forbearance of Structural Separation Requirements and Request For Immedia</t>
  </si>
  <si>
    <t>Common Carrier Bureau will hold Forum on Deregulation/Privatization of Equipment Registration and Telephone Network Connection Rules</t>
  </si>
  <si>
    <t>COMMON CARRIER BUREAU RELEASES REPORT TO MONITOR IMPACTS OF UNIVERSAL SERVICE SUPPORT MECHANISMS</t>
  </si>
  <si>
    <t>In the Matter GTE Corporation and Bell Atlantic Corporation</t>
  </si>
  <si>
    <t>IN THE MATTER OF INQUIRY CONCERNING THE DEPLOYMENT OF ADVANCED TELECOMMUNICATIONS CAPABILITY TO ALL AMERICANS IN A REASONABLE AND TIMELY FASHION, AND POSSIBLE STEPS TO ACCELERATE SUCH DEPLOYMENT PURSUANT TO THE SECTI</t>
  </si>
  <si>
    <t>APPLICATION OF AMERITECH CORPORATION AND SBC COMMUNICATIONS INC. FOR AUTHORITY, PURSUANT TO PART OF THE COMMISSION'S RULES, TO TRANSFER CONTROL OF A LICENSE CONTROLLED BY AMERITECH CORPORATION</t>
  </si>
  <si>
    <t>AMENDMENT OF PARTS OF THE COMMISSION'S RULES TO ALLOCATE SPECTRUM WITHIN THE 5.850-5.925 GHZ BAND TO THE MOBILE SERVICE FOR DEDICATED SHORT RANGE COMMUNICATIONS OF INTELLIGENT TRANSPORTATION SERVICES</t>
  </si>
  <si>
    <t>IN THE MATTER OF INMPLEMENTATION OF THE CABLE TELEVISION CONSUMER PROTECTION AND COMPETITION ACT OF 1992</t>
  </si>
  <si>
    <t>IN THE MATTER OF TELECOMMUNICATIONS RELAY SERVICES AND SPEECH-TO-SPEECH SERVICES FOR INDIVIDUALS WITH HEARING AND SPEECH DISABILITIES</t>
  </si>
  <si>
    <t>1998 BIENNIAL REGULATORY REVIEW-AMENDMENT OF PARTS OF THE COMMISSION'S RULES TO FURTHER STREAMLINE THE EQUIPMENT AUTHORIZATION PROCESS FOR RADIO FREQUENCY EQUIPMENT, MODIFY THE EQUIPMENT</t>
  </si>
  <si>
    <t>COMMUNICATIONS ASSISTANCE FOR LAW ENFORCEMENT ACT</t>
  </si>
  <si>
    <t>AMENDMENT TO ENABLE MULTIPOINT DISTRIBUTION SERVICE AND INSTRUCTUIONAL TELEVISION FIXED SERVICE LICENSEES TO ENGAGE IN FIXED TWO-WAY TRANSMISSIONS</t>
  </si>
  <si>
    <t>AMENDMENT OF SECTION 2.106 OF THE COMMISSION'S RULES TO ALLOCATE SPECTRUM AT 2 GHZ FOR USE BY THE MOBILE-SATELLITE SERVICE</t>
  </si>
  <si>
    <t>REVIEW OF THE COMMISSION'S REGULATIONS GOVERNING ATTRIBUTION OF MASS MEDIA INTERESTS</t>
  </si>
  <si>
    <t>AMERITECH OPERATING COMPANIES REVISIONS TO TARIFF FCC NO. 2</t>
  </si>
  <si>
    <t>Private Radio Bureau</t>
  </si>
  <si>
    <t>NORTH CAROLINA PUBLIC SAFETY PLAN - REGION 31</t>
  </si>
  <si>
    <t>MINNESOTA PUBLIC SAFETY PLAN - REGION 22</t>
  </si>
  <si>
    <t>KENTUCKY PUBLIC SAFETY PLAN - REGION 17</t>
  </si>
  <si>
    <t>VIRGIN ISLANDS PUBLIC SAFETY PLAN - REGION 48</t>
  </si>
  <si>
    <t>NEW MEXICO PUBLIC SAFETY PLAN - REGION 29</t>
  </si>
  <si>
    <t>ALASKA PUBLIC SAFETY PLAN - REGION 2</t>
  </si>
  <si>
    <t>PUERTO RICO PUBLIC SAFETY PLAN - REGION 47</t>
  </si>
  <si>
    <t>NORTH DAKOTA PUBLIC SAFETY PLAN - REGION 32</t>
  </si>
  <si>
    <t>WEST VIRGINIA PUBLIC SAFETY PLAN - REGION 44</t>
  </si>
  <si>
    <t>SOUTH DAKOTA PUBLIC SAFETY PLAN - REGION 38</t>
  </si>
  <si>
    <t>ARKANSAS PUBLIC SAFETY PLAN - REGION 4</t>
  </si>
  <si>
    <t>IMPLEMENTATION OF THE CABLE TELEVISION CONSUMER PROTECTION AND COMPETITION ACT OF 1992 -- HORIZONTAL AND VERTICAL OWNERSHIP LIMITS, CROSS-OWNERSHIP LIMITATIONS AND ANTI-TRAFFICKING PROVISIONS</t>
  </si>
  <si>
    <t>EL PASO AREA-PUBLIC SAFETY - REGION 50</t>
  </si>
  <si>
    <t>AMENDMENT OF THE RULES CONCERNING MARITIME COMMUNICATIONS</t>
  </si>
  <si>
    <t>NEVADA PUBLIC SAFETY PLAN - REGION 27</t>
  </si>
  <si>
    <t>OKLAHOMA PUBLIC SAFETY PLAN - REGION 34</t>
  </si>
  <si>
    <t>TO BE PROVIDED</t>
  </si>
  <si>
    <t>REVIEW OF THE COMMISSION'S REGULATIONS AND POLICIES AFFECTING INVESTMENT IN THE BROADCAST INDUSTRY</t>
  </si>
  <si>
    <t>FOR CONSTRUCTION PERMITS IN THE MULTIPOINT DISTRIBUTION SERVICE FOR A NEW STATION</t>
  </si>
  <si>
    <t>REEXAMINATION OF THE COMMISSION'S CROSS-INTEREST POLICY</t>
  </si>
  <si>
    <t>AMENDMENT FM TABLE OF ALLOTMENTS</t>
  </si>
  <si>
    <t>PUBLIC SAFETY RADIO COMMUNICATIONS PLAN FOR THE SOUTHERN CALIFORNIA AREA</t>
  </si>
  <si>
    <t>FOR CONSTRUCTION PERMIT</t>
  </si>
  <si>
    <t>MISSISSIPPI REGIONAL PUBLIC SAFETY PLAN</t>
  </si>
  <si>
    <t>LOUISIANA PUBLIC SAFETY PLAN--REGION 18</t>
  </si>
  <si>
    <t>HOUSTON AREA REGIONAL PUBLIC SAFETY PLAN (REGION 51)</t>
  </si>
  <si>
    <t>LUBBOCK AREA PUBLIC SAFETY PLAN - REGION 52</t>
  </si>
  <si>
    <t>NEBRASKA REGIONAL PUBLIC SAFETY PLAN -- REGION 26</t>
  </si>
  <si>
    <t>Bureau</t>
  </si>
  <si>
    <t>ECFS Link</t>
  </si>
  <si>
    <t>EDOCS Link</t>
  </si>
  <si>
    <t>Description</t>
  </si>
  <si>
    <t>03-165</t>
  </si>
  <si>
    <t>09-164</t>
  </si>
  <si>
    <t>14-157</t>
  </si>
  <si>
    <t>14-97</t>
  </si>
  <si>
    <t>16-16</t>
  </si>
  <si>
    <t>ITC DeltaCom Communications, Inc. Interstate FiberNet, Inc. Application for Domestic Section 214 Transfer of Control</t>
  </si>
  <si>
    <t>Application filed for the transfer of control of Welsh, Carson, Anderson, &amp; Stowe VIII, L.P. to ITC DeltaCom, Inc.</t>
  </si>
  <si>
    <t>CONSUMER &amp; GOVERNMENTAL AFFAIRS BUREAU SEEKS COMMENT ON TERMINATION OF CERTAIN PROCEEDINGS AS DORMANT</t>
  </si>
  <si>
    <t>Consumer &amp; Governmental Affairs Bureau Seeks Comments On Termination of Certain Proceeding As Dormant</t>
  </si>
  <si>
    <t>Consumer &amp; Governmental Affairs Bureau Seeks Comments onTermination on Certain Proceeding as Dormant</t>
  </si>
  <si>
    <t>Date Created</t>
  </si>
  <si>
    <t>Proceeding No.</t>
  </si>
  <si>
    <t>No. of Filings</t>
  </si>
  <si>
    <t>Date of Last Filing</t>
  </si>
  <si>
    <t>95-20</t>
  </si>
  <si>
    <t>98-10</t>
  </si>
  <si>
    <t>COMPUTER III FURTHER REMAND PROCEEDING: BELL OPERATING COMPANY PROVISION OF ENHANCED SERVICES</t>
  </si>
  <si>
    <t>IN THE MATTER OF 1998 BIENNIAL REGULATORY REVIEW OF COMPUTER III AND ONA SAFEGUARDS AND REQUIREMENTS</t>
  </si>
  <si>
    <t>COMMENTS INVITED ON NORTH CENTRAL AND NORTH EAST TEXAS PUBLIC  SAFETY PLAN</t>
  </si>
  <si>
    <t>AUTHORIZATION AND OPERATION OF HOME ARREST AND CHILD LOCATOR RADIO DEVICES UNDER PART 15 OF THE COMMISSION'S RULES</t>
  </si>
  <si>
    <t>Petition for Declaratory Ruling Concerning the Bundling of Local Telephone Service with Long Distance Service</t>
  </si>
  <si>
    <t>In the Matter of Implementation of the Twenty-First Century Communication and Video   Accessibility Act of 2010 section 103(b) section 715 of the Communications Act of 1934</t>
  </si>
  <si>
    <t>The Joint petition filed by Dish Network , LLC The United States of America, and The States of California   Illinois, North Carolina and Ohio for Declaratory ruling concerning The Telephone Consumer   Protection Act (TCPA) rules</t>
  </si>
  <si>
    <t>BellSouth Section 272 Joint Federal /State Biennial Audits</t>
  </si>
  <si>
    <t>In the Matter of Pendleton C. Waugh, Charles M. Austin, and Jay R. Bishop Preferred   Communication Systems, Inc. Licensee of Various Site-by-Site Licenses in the Specialized  Mobile Radio Service</t>
  </si>
  <si>
    <t>Consumer &amp; Governmental Affairs Bureau Seeks Comment on Termination of Certain Proceeding as Dormant</t>
  </si>
  <si>
    <t>Inquiry Concerning the Deploment of Advanced Telecommunications Capability to All Americans  in a Reasonable and Timely Fashion and Possible Steps to Accelerate Such Deployment   Pursuant to section 706 of the Telecommunications Act</t>
  </si>
  <si>
    <t>In the Matter of Inquiry Concerning the Deployment of advanced Telecommunications capability   to All Americans in a reasonable and timely fashion and possible steps to accelerate such   deployment pursuant to section706 of telecommunications Act 1996</t>
  </si>
  <si>
    <t>Inquiry Concerning the Deployment of Advanced Telecommunications Capablility to All Americans  in a Reasonable and Timely Fashinon and Possible Steps to Accelerate Such Deployment   Pursuant to Section 706 of Telecommnications Act of 1996</t>
  </si>
  <si>
    <t>REQUEST TO ADD MARLBOROUGH, MA, AS A DESIGNATED COMMUNITY IN THE BOSTON-CAMBRIDGE-WORCESTER, MA, MAJOR TELEVISION MARKET</t>
  </si>
  <si>
    <t>In the Matter of Applications for Consent to the Assignment and /or Transfer of Control of   Licenses Adelphia Communications Corporation (and Subsidiaries debtor-in-possession)  Assignors, time Warner Cable Inc.  …</t>
  </si>
  <si>
    <t>In the Matter of Amendment of Service and Eligibility for FM Broadcast Translator Stations</t>
  </si>
  <si>
    <t>News Corporation, The Directv Group, Inc. and Liberty Media Corporation seek approval   to transfer control of FCC Authorizations and Licenses</t>
  </si>
  <si>
    <t>Amendment of the FM table of Allotments</t>
  </si>
  <si>
    <t>In the Matter of Amendment of Parts 73 and 74 of the Commission's Rules to Establish Rules   for repalacement Digital Low Power Television Translator Stations</t>
  </si>
  <si>
    <t>In the Matter of sponsorship Identification Rules and Embedded Advertising</t>
  </si>
  <si>
    <t>Amendment of Section 73.622 (i). Final DTV Table of Allotments,  Television Broadcast Stations</t>
  </si>
  <si>
    <t>In the Matter of Liberman Televiision LLC petition for Waiver of section 73.658(i) of the Commission  's Rules</t>
  </si>
  <si>
    <t>In the Matter of Eddie Floyd Licensee of FM Translator Station K237AF, Carson City, NV</t>
  </si>
  <si>
    <t>In the Matter of Amendment of 73.202 (b) FM Table of Allotments FM Broadcast Stations</t>
  </si>
  <si>
    <t>Citadel Broadcasting corporation and Cumulus Media Inc. seek approval to transfer control of and   assign FCC authorizations and licenses</t>
  </si>
  <si>
    <t>Reallocation of Channel 3 from Ely, Nevada to Middletown Township, New Jersey, Amendment oSection 73.622(i), Post-Transition Table of DTV Allotments, Television Broadcast Stations</t>
  </si>
  <si>
    <t xml:space="preserve">FCC seeks comments regarding possible revision or Elimination of Rules Under The Regulatory   Flexiblility Act, 5 U.S.C.  610 </t>
  </si>
  <si>
    <t>FCC seeks comment regarding possible Revision or Elimination of Rules under The Regulatory  Flexibility Act, U.S.C. 610</t>
  </si>
  <si>
    <t>Revision to Broadcast Auxiliary Service Rules in Part 74 and Conforming Technical Rules for  Broadcast Auxiliary Service, Cable Television Relay Service and Fixed Services in Part 74, 78, and 101 of the Commission's Rules</t>
  </si>
  <si>
    <t>Office of Engineering and Technology declares The Veroscan request for waiver of section   15.247(B) to be a 'Permit-But-Disclose' proceeding for Ex Parte purposes and requests   comments</t>
  </si>
  <si>
    <t>Office of Engineering and Technology delcares The tetra Association's request for a waiver of   parts 90.209 90.210 and 2.1043 to be a 'Permit-But-Disclose' proceeding for Ex Parte purposes   and requests comment</t>
  </si>
  <si>
    <t>Office of Engineering and Technology declares The Starkey Laboratories, Inc. request for a   waiver of part 15 for the 902-928 MHZ Band to be a 'Permit-But-Disclose' proceeding for Ex  Parte purposes and requests comments</t>
  </si>
  <si>
    <t>In the Matterof Promoting More Efficient Use of Spectrum Through Dynamic Spectrum Use Techologies</t>
  </si>
  <si>
    <t>Office of Engineering and Technology declares The Robert Bosch, GMBH request for a waiver  of part 15  Ultra-Wideband rules for a Through-Wall imaging device to be 'Permit-But-Disclose'  proceeding for EX Parte purposes and requests ocmments</t>
  </si>
  <si>
    <t>In the Matter of Amendment of part 15 of the Commission's Rules regarding Unlicensed Personal  Communications Service Devices in the 1920-1930 MHz band</t>
  </si>
  <si>
    <t>Declares the second Sight Medical Products, Inc. request for waiver of rule section 15.209 (A)  to be a 'Permit-But-Disclose' proceeding for EX Parte purposes and requests comment</t>
  </si>
  <si>
    <t>Commission seeks comments on preliminary plan for retrospective analysis of existing rules</t>
  </si>
  <si>
    <t>Public Safety and Homeland Security Bureau seeks comment on increasing Public Safety Interoperability by promoting competition for public safety communications technologies</t>
  </si>
  <si>
    <t>Commission seeks public comment in 2010 Biennial review of telecommunications regulations;  announces particular focus on data collection requirements</t>
  </si>
  <si>
    <t>Amendment  of the Commissions Rules to Benefit the Consumers of Air Ground Telecommunications  Services</t>
  </si>
  <si>
    <t>Biennial Regulatory Review-Amendment of Parts 1, 22, 24, 27, and 90 to Streamline and   Harmonize Various Rules aAffecting Wireless Radio Services</t>
  </si>
  <si>
    <t>Wireless Telecommunications Bureau requests comment on Nextel Partners Petition for   limited waiver of the December 31, 2005 deadline to achieve ninety-five percent penetration   of location-capable handsets among its subscribers</t>
  </si>
  <si>
    <t>Western Wireless Coporation and Alltel Corporation seek FCC Consent to Transfer   Control of Licenses and Authorizations</t>
  </si>
  <si>
    <t>Rule parts containing regulations administered by the Wireless Telecommunications Bureau  (WTB)</t>
  </si>
  <si>
    <t>In the Matter of Former Nextel Communications, Inc. Upper 700MHz Guard Band Licenses,   and Revisions to Part 27 of the Commission's Rules</t>
  </si>
  <si>
    <t>In the Matter of Declaratory Ruling on Reporting requirement under Commission's Part1   Anti-Collusion Rule</t>
  </si>
  <si>
    <t>MDS Operations, Inc. Supplement to petition for waiver to increase Effective Isotropic Radiated  Power Limitations applicable to Mutichannel Video Distribution and Data Service Stations</t>
  </si>
  <si>
    <t>Wireless Telecommunications Bureau seeks comment on petition for rulemaking regarding   exclusivity arrangements between commercial wireless carriers and handset manufacturers</t>
  </si>
  <si>
    <t>Wireless Telecommunictions Bureau seeks Comments on petition for rulemaking of The National Public Safety Telecommunications Council</t>
  </si>
  <si>
    <t>Wireless Telecommunications Bureau seeks comment on petition for forbearance filed by Denali  Spectrum license sub LLC regarding unjust enrichment provisions of 47 C.F.R. 1.2111 (d)(2)</t>
  </si>
  <si>
    <t>Wireless Telecommunicaations Bureau seeks comment on request by South Carolina Educational   Television Commission for waiver to grant geographic service areas to educational Broadband  service stations licensed as secondary studio-to-trasmitter links</t>
  </si>
  <si>
    <t>Comments invited on Chevron USA waiver request for operations in offshore Federl and State   waters of the Gulf of Mexico and Alaska</t>
  </si>
  <si>
    <t>Wireless Telecommunications Bureau seeks comment on request to extend The Substantial   Service Deadline for Educational Broadband Serviec licensees to November 1, 2011</t>
  </si>
  <si>
    <t>Applications of T-Mobile License LLC and Metro PCS Communications, Inc. for Consent to Assign Licenses</t>
  </si>
  <si>
    <t>In the Matter of BellSouth Telecommunications, Inc. Petition for Forbearance Under 47 U.S.C. 160(c)</t>
  </si>
  <si>
    <t>Pleading Cycle Established for Petition of ASAP Paging, Inc. for Preemption of the Public Utility  Commission of Texas Concerning Retail Rating of Local calls to CMRS Carriers</t>
  </si>
  <si>
    <t>Verizon/ MCI Merger Application</t>
  </si>
  <si>
    <t>Comments on United Power Line Council's petition for declaratory ruling regarding the   the classification of broadband over power line internet access service as an   information service</t>
  </si>
  <si>
    <t>Pleading cycle established for SBC'S and VARTEC'S petitions for declaratory ruling   regarding the application of access charges to IP-Transported Calls</t>
  </si>
  <si>
    <t>Applications for the Transfer of Control of licenses and Authorization from AT&amp;T Corp.  and Its Subsidiaries to SBC Communications Inc.</t>
  </si>
  <si>
    <t>Petition of Image Access, Inc. d/b/a NewPhone for declaratory ruling pleading cycle established</t>
  </si>
  <si>
    <t>Pleading cycle established for comments on Cablevision Lightpath, Inc. petition for forbearance   under 47 U.S.C. 160(c) from title II and applicable computer inquiry rules with respect to   its Broadband services</t>
  </si>
  <si>
    <t>Comment on Sprint petition for declaratory ruling concerning a Kansas Corporation Commission  lifeline rule adoted October 2, 2006</t>
  </si>
  <si>
    <t>Application of Verizon New England, Inc. NYNEX Long Distance Company, Bell Atlantic   Communications Inc., and Northern New England Spinco Inc., Transferors, and FairPoint  Communications, Inc. transferee fro consent to transfer Certain Assets</t>
  </si>
  <si>
    <t>Pleading Cycle established for comments on petition for order declaring Channel Islands Telephone  company an incumbent local exchange carrier pursuant to section 251(h) (2) of the Communication  Act</t>
  </si>
  <si>
    <t>Pleading cycle established for comments on Level 3's Emergency petition for assignment of  additional telephone neumbers in area code 603</t>
  </si>
  <si>
    <t>Pleading cycle established for request for clarification by Aztek Networks of RAO 21 regarding   instalillation of emergency standalone routers in remote terminals</t>
  </si>
  <si>
    <t>Comments sought on petition for declaratory ruling of Securus Technologies, Inc.</t>
  </si>
  <si>
    <t>Notice of request for access to Data Filed in FCC Form 499A pleading cycle established</t>
  </si>
  <si>
    <t>Application filed for the transfer of control of Bitwise Communications, Inc. to Family   Communications LLC</t>
  </si>
  <si>
    <t>Comments sought on petition for declaratory ruling and contingent petition for preemption of   Great Lakes Communications Corp. and Superioor Telephone Cooperative</t>
  </si>
  <si>
    <t>Comments on Level 3 Communications petition for declaratory ruling that certain right-of-way rents  imposed by the New York State Thruway authority are preempted under section 253</t>
  </si>
  <si>
    <t>Application filed for the transfer of control of Welsh, Carson, Anderson, &amp; Stowe VIII, L.P. to   Business Telecom Inc.</t>
  </si>
  <si>
    <t>Application filed for the transfer of control of Welsh, Carso, Anderson, &amp; Stowe VIII, L.P. to   Interstate Fibernet, Inc.</t>
  </si>
  <si>
    <t>National Exchange Carrier Association, Inc. 2010 Modificationof Average Schedules</t>
  </si>
  <si>
    <t>Pleading cycle esablished for comments on petition for expedited rulemaking regarding section   271 unbundling obligations</t>
  </si>
  <si>
    <t>Pleading cycle established for petition of OLS, Inc. and TeleUno, inc. for declaratory ruling on   application of section 201 (b) and 203 (c) to carrier practices and charges</t>
  </si>
  <si>
    <t>Pleading cycle established for petition of Blue Casa Communications, Inc. for declaratory ruling   concerning intercarrier compensation for ISP-Bound VMXX Traffic</t>
  </si>
  <si>
    <t>In the Matter of Electronic Tariff Filing System (ETFS)</t>
  </si>
  <si>
    <t>Comment sought on CRC Communications of Maine and Time Warner Cable petition for preemption</t>
  </si>
  <si>
    <t>Comment sought on Sprint Communications Company LP application for review of the TEKSTAR  Communications, Inc. Tariff</t>
  </si>
  <si>
    <t>National Exchange Carrier Association, Inc., 2011 Modification of Average Schedules</t>
  </si>
  <si>
    <t>Pleading cycle established for comments on Vitelco petition for conversion to price cap regulation  and for other limited waiver relief</t>
  </si>
  <si>
    <t>Pleading cycle established for comments on Fairpoint petition for conversion to price cap regulation  and for other limited waiver relief</t>
  </si>
  <si>
    <t>Pleading cycle estabished for comments on  PAC-WEST Telecomm, Inc. and Verizon petitions   for Declaratory Ruling</t>
  </si>
  <si>
    <t>Comments sought on NCTA Petitions regarding section 652 of The  Communications Act</t>
  </si>
  <si>
    <t>Wireline Competition Bureau seeks comment on petition to clarify Payphone Service Providers'  responsibilities with repect to the transmission of Payhone-Specific coding Digits</t>
  </si>
  <si>
    <t>Application filed for the transfer of control of Insight Communications Company, Inc. to Warner  Cable Inc.</t>
  </si>
  <si>
    <t>National Exchange Carrier Association, Inc. 2012 Modification of Average Schedules</t>
  </si>
  <si>
    <t>Notice of request for access to form 477 Broadband Data Pleading Cycle established</t>
  </si>
  <si>
    <t>Application filed for the transfer of control of Clinton County Telephone Company Westphalia   Telephone company Westphalia Broadband, Inc. and Westphalia Communications Inc.  to Great Lakes ComNet, Inc.</t>
  </si>
  <si>
    <t>Auction of Wireless Commuications Service Licenses Sheduled for November 16, 2011  Comment sought on Competitive Bidding Procedures for Auction 93</t>
  </si>
  <si>
    <t>In the Matter of Amendment of Part 90 of the Commission's rules to Provide for Flexible   Use of the 896-901 MHz and Bands Allotted to the  Bussiness and Industrial Land   Transportation Pool Opposition and Petitions for Reconsideration</t>
  </si>
  <si>
    <t>America Movil, S.A. DE C.V., Verizon Communications Inc. and Subsidiaries of   Telecomunicaciones DE Puerto Rico Inc. seek FCC consent to transfer control, of licenses  and authorization and request a declaratory ruling</t>
  </si>
  <si>
    <t>Pleading cycle established for petition for waiver of section 61.45(D) or in the alternative,   declaratory ruling to treat end user common line settlement payments as exogenous costs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</si>
</sst>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rgb="FF3333FF"/>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2">
    <xf numFmtId="0" fontId="0" fillId="0" borderId="0" xfId="0"/>
    <xf numFmtId="0" fontId="16" fillId="33" borderId="0" xfId="0" applyFont="1" applyFill="1" applyAlignment="1">
      <alignment horizontal="center"/>
    </xf>
    <xf numFmtId="0" fontId="16" fillId="33" borderId="0" xfId="0" applyFont="1" applyFill="1" applyAlignment="1">
      <alignment horizontal="center" wrapText="1"/>
    </xf>
    <xf numFmtId="14" fontId="16" fillId="33" borderId="0" xfId="0" applyNumberFormat="1" applyFont="1" applyFill="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0" fillId="0" borderId="0" xfId="42" applyFont="1" applyAlignment="1">
      <alignment wrapText="1"/>
    </xf>
    <xf numFmtId="0" fontId="0" fillId="0" borderId="0" xfId="0" applyFont="1" applyAlignment="1"/>
    <xf numFmtId="0" fontId="19" fillId="0" borderId="0" xfId="0" applyFont="1" applyAlignment="1"/>
    <xf numFmtId="0" fontId="19" fillId="0" borderId="0" xfId="0" applyFont="1" applyFill="1" applyAlignment="1"/>
    <xf numFmtId="0" fontId="19" fillId="0" borderId="0" xfId="42" applyFont="1" applyAlignment="1"/>
    <xf numFmtId="14"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2"/>
  <sheetViews>
    <sheetView tabSelected="1" view="pageLayout" zoomScaleNormal="100" workbookViewId="0">
      <selection activeCell="E328" sqref="E328"/>
    </sheetView>
  </sheetViews>
  <sheetFormatPr defaultRowHeight="15" x14ac:dyDescent="0.25"/>
  <cols>
    <col min="1" max="1" width="40.28515625" style="4" customWidth="1"/>
    <col min="2" max="2" width="11.5703125" style="4" customWidth="1"/>
    <col min="3" max="4" width="24.7109375" style="7" customWidth="1"/>
    <col min="5" max="5" width="57.5703125" style="4" customWidth="1"/>
    <col min="6" max="6" width="7.28515625" style="4" customWidth="1"/>
    <col min="7" max="7" width="11.7109375" style="5" customWidth="1"/>
    <col min="8" max="8" width="11.7109375" style="4" customWidth="1"/>
    <col min="9" max="16384" width="9.140625" style="4"/>
  </cols>
  <sheetData>
    <row r="1" spans="1:8" ht="30" x14ac:dyDescent="0.25">
      <c r="A1" s="2" t="s">
        <v>213</v>
      </c>
      <c r="B1" s="2" t="s">
        <v>228</v>
      </c>
      <c r="C1" s="1" t="s">
        <v>214</v>
      </c>
      <c r="D1" s="1" t="s">
        <v>215</v>
      </c>
      <c r="E1" s="2" t="s">
        <v>216</v>
      </c>
      <c r="F1" s="2" t="s">
        <v>229</v>
      </c>
      <c r="G1" s="3" t="s">
        <v>227</v>
      </c>
      <c r="H1" s="2" t="s">
        <v>230</v>
      </c>
    </row>
    <row r="2" spans="1:8" ht="45" x14ac:dyDescent="0.25">
      <c r="A2" s="4" t="s">
        <v>28</v>
      </c>
      <c r="B2" s="4" t="str">
        <f>"11-88"</f>
        <v>11-88</v>
      </c>
      <c r="C2" s="8" t="str">
        <f>HYPERLINK("https://www.fcc.gov/ecfs/search/filings?proceedings_name=11-88&amp;sort=date_disseminated,DESC")</f>
        <v>https://www.fcc.gov/ecfs/search/filings?proceedings_name=11-88&amp;sort=date_disseminated,DESC</v>
      </c>
      <c r="D2" s="8" t="str">
        <f>HYPERLINK("https://apps.fcc.gov/edocs_public/Query.do?docket=11-88")</f>
        <v>https://apps.fcc.gov/edocs_public/Query.do?docket=11-88</v>
      </c>
      <c r="E2" s="4" t="s">
        <v>324</v>
      </c>
      <c r="F2" s="4">
        <v>0</v>
      </c>
      <c r="G2" s="5">
        <v>40680</v>
      </c>
      <c r="H2" s="5">
        <v>40680</v>
      </c>
    </row>
    <row r="3" spans="1:8" ht="45" x14ac:dyDescent="0.25">
      <c r="A3" s="4" t="s">
        <v>160</v>
      </c>
      <c r="B3" s="4" t="str">
        <f>"00-1"</f>
        <v>00-1</v>
      </c>
      <c r="C3" s="8" t="str">
        <f>HYPERLINK("https://www.fcc.gov/ecfs/search/filings?proceedings_name=00-1&amp;sort=date_disseminated,DESC")</f>
        <v>https://www.fcc.gov/ecfs/search/filings?proceedings_name=00-1&amp;sort=date_disseminated,DESC</v>
      </c>
      <c r="D3" s="8" t="str">
        <f>HYPERLINK("https://apps.fcc.gov/edocs_public/Query.do?docket=00-1")</f>
        <v>https://apps.fcc.gov/edocs_public/Query.do?docket=00-1</v>
      </c>
      <c r="E3" s="4" t="s">
        <v>167</v>
      </c>
      <c r="F3" s="4">
        <v>31</v>
      </c>
      <c r="G3" s="5">
        <v>36530</v>
      </c>
      <c r="H3" s="5">
        <v>41717</v>
      </c>
    </row>
    <row r="4" spans="1:8" ht="45" x14ac:dyDescent="0.25">
      <c r="A4" s="4" t="s">
        <v>160</v>
      </c>
      <c r="B4" s="4" t="str">
        <f>"98-82"</f>
        <v>98-82</v>
      </c>
      <c r="C4" s="8" t="str">
        <f>HYPERLINK("https://www.fcc.gov/ecfs/search/filings?proceedings_name=98-82&amp;sort=date_disseminated,DESC")</f>
        <v>https://www.fcc.gov/ecfs/search/filings?proceedings_name=98-82&amp;sort=date_disseminated,DESC</v>
      </c>
      <c r="D4" s="8" t="str">
        <f>HYPERLINK("https://apps.fcc.gov/edocs_public/Query.do?docket=98-82")</f>
        <v>https://apps.fcc.gov/edocs_public/Query.do?docket=98-82</v>
      </c>
      <c r="E4" s="4" t="s">
        <v>176</v>
      </c>
      <c r="F4" s="4">
        <v>1182</v>
      </c>
      <c r="G4" s="5">
        <v>35955</v>
      </c>
      <c r="H4" s="5">
        <v>39573</v>
      </c>
    </row>
    <row r="5" spans="1:8" ht="30" x14ac:dyDescent="0.25">
      <c r="A5" s="4" t="s">
        <v>158</v>
      </c>
      <c r="B5" s="4" t="str">
        <f>"00-259"</f>
        <v>00-259</v>
      </c>
      <c r="C5" s="8" t="str">
        <f>HYPERLINK("https://www.fcc.gov/ecfs/search/filings?proceedings_name=00-259&amp;sort=date_disseminated,DESC")</f>
        <v>https://www.fcc.gov/ecfs/search/filings?proceedings_name=00-259&amp;sort=date_disseminated,DESC</v>
      </c>
      <c r="D5" s="8" t="str">
        <f>HYPERLINK("https://apps.fcc.gov/edocs_public/Query.do?docket=00-259")</f>
        <v>https://apps.fcc.gov/edocs_public/Query.do?docket=00-259</v>
      </c>
      <c r="E5" s="4" t="s">
        <v>164</v>
      </c>
      <c r="F5" s="4">
        <v>0</v>
      </c>
      <c r="G5" s="5">
        <v>36896</v>
      </c>
      <c r="H5" s="5">
        <v>36896</v>
      </c>
    </row>
    <row r="6" spans="1:8" ht="75" x14ac:dyDescent="0.25">
      <c r="A6" s="4" t="s">
        <v>158</v>
      </c>
      <c r="B6" s="4" t="str">
        <f>"01-9"</f>
        <v>01-9</v>
      </c>
      <c r="C6" s="8" t="str">
        <f>HYPERLINK("https://www.fcc.gov/ecfs/search/filings?proceedings_name=01-9&amp;sort=date_disseminated,DESC")</f>
        <v>https://www.fcc.gov/ecfs/search/filings?proceedings_name=01-9&amp;sort=date_disseminated,DESC</v>
      </c>
      <c r="D6" s="8" t="str">
        <f>HYPERLINK("https://apps.fcc.gov/edocs_public/Query.do?docket=01-9")</f>
        <v>https://apps.fcc.gov/edocs_public/Query.do?docket=01-9</v>
      </c>
      <c r="E6" s="4" t="s">
        <v>163</v>
      </c>
      <c r="F6" s="4">
        <v>251</v>
      </c>
      <c r="G6" s="5">
        <v>36908</v>
      </c>
      <c r="H6" s="5">
        <v>40749</v>
      </c>
    </row>
    <row r="7" spans="1:8" ht="75" x14ac:dyDescent="0.25">
      <c r="A7" s="4" t="s">
        <v>158</v>
      </c>
      <c r="B7" s="4" t="str">
        <f>"02-61"</f>
        <v>02-61</v>
      </c>
      <c r="C7" s="8" t="str">
        <f>HYPERLINK("https://www.fcc.gov/ecfs/search/filings?proceedings_name=02-61&amp;sort=date_disseminated,DESC")</f>
        <v>https://www.fcc.gov/ecfs/search/filings?proceedings_name=02-61&amp;sort=date_disseminated,DESC</v>
      </c>
      <c r="D7" s="8" t="str">
        <f>HYPERLINK("https://apps.fcc.gov/edocs_public/Query.do?docket=02-61")</f>
        <v>https://apps.fcc.gov/edocs_public/Query.do?docket=02-61</v>
      </c>
      <c r="E7" s="4" t="s">
        <v>159</v>
      </c>
      <c r="F7" s="4">
        <v>55</v>
      </c>
      <c r="G7" s="5">
        <v>37336</v>
      </c>
      <c r="H7" s="5">
        <v>41103</v>
      </c>
    </row>
    <row r="8" spans="1:8" ht="30" x14ac:dyDescent="0.25">
      <c r="A8" s="4" t="s">
        <v>158</v>
      </c>
      <c r="B8" s="4" t="str">
        <f>"85-271"</f>
        <v>85-271</v>
      </c>
      <c r="C8" s="8" t="str">
        <f>HYPERLINK("https://www.fcc.gov/ecfs/search/filings?proceedings_name=85-271&amp;sort=date_disseminated,DESC")</f>
        <v>https://www.fcc.gov/ecfs/search/filings?proceedings_name=85-271&amp;sort=date_disseminated,DESC</v>
      </c>
      <c r="D8" s="8" t="str">
        <f>HYPERLINK("https://apps.fcc.gov/edocs_public/Query.do?docket=85-271")</f>
        <v>https://apps.fcc.gov/edocs_public/Query.do?docket=85-271</v>
      </c>
      <c r="E8" s="4" t="s">
        <v>203</v>
      </c>
      <c r="F8" s="4">
        <v>0</v>
      </c>
      <c r="G8" s="5">
        <v>33533</v>
      </c>
      <c r="H8" s="5">
        <v>33533</v>
      </c>
    </row>
    <row r="9" spans="1:8" ht="30" x14ac:dyDescent="0.25">
      <c r="A9" s="4" t="s">
        <v>158</v>
      </c>
      <c r="B9" s="4" t="str">
        <f>"88-549"</f>
        <v>88-549</v>
      </c>
      <c r="C9" s="9" t="str">
        <f>HYPERLINK("https://www.fcc.gov/ecfs/search/filings?proceedings_name=88-549&amp;sort=date_disseminated,DESC")</f>
        <v>https://www.fcc.gov/ecfs/search/filings?proceedings_name=88-549&amp;sort=date_disseminated,DESC</v>
      </c>
      <c r="D9" s="8" t="str">
        <f>HYPERLINK("https://apps.fcc.gov/edocs_public/Query.do?docket=88-549")</f>
        <v>https://apps.fcc.gov/edocs_public/Query.do?docket=88-549</v>
      </c>
      <c r="E9" s="4" t="s">
        <v>235</v>
      </c>
      <c r="F9" s="4">
        <v>4</v>
      </c>
      <c r="G9" s="5">
        <v>33533</v>
      </c>
      <c r="H9" s="5">
        <v>39913</v>
      </c>
    </row>
    <row r="10" spans="1:8" ht="30" x14ac:dyDescent="0.25">
      <c r="A10" s="4" t="s">
        <v>158</v>
      </c>
      <c r="B10" s="4" t="str">
        <f>"94-97"</f>
        <v>94-97</v>
      </c>
      <c r="C10" s="8" t="str">
        <f>HYPERLINK("https://www.fcc.gov/ecfs/search/filings?proceedings_name=94-97&amp;sort=date_disseminated,DESC")</f>
        <v>https://www.fcc.gov/ecfs/search/filings?proceedings_name=94-97&amp;sort=date_disseminated,DESC</v>
      </c>
      <c r="D10" s="8" t="str">
        <f>HYPERLINK("https://apps.fcc.gov/edocs_public/Query.do?docket=94-97")</f>
        <v>https://apps.fcc.gov/edocs_public/Query.do?docket=94-97</v>
      </c>
      <c r="E10" s="4" t="s">
        <v>183</v>
      </c>
      <c r="F10" s="4">
        <v>233</v>
      </c>
      <c r="G10" s="5">
        <v>34585</v>
      </c>
      <c r="H10" s="5">
        <v>39476</v>
      </c>
    </row>
    <row r="11" spans="1:8" ht="30" x14ac:dyDescent="0.25">
      <c r="A11" s="4" t="s">
        <v>158</v>
      </c>
      <c r="B11" s="4" t="s">
        <v>231</v>
      </c>
      <c r="C11" s="10" t="str">
        <f>HYPERLINK("https://www.fcc.gov/ecfs/search/filings?proceedings_name=95-20&amp;sort=date_disseminated,DESC")</f>
        <v>https://www.fcc.gov/ecfs/search/filings?proceedings_name=95-20&amp;sort=date_disseminated,DESC</v>
      </c>
      <c r="D11" s="10" t="str">
        <f>HYPERLINK("https://apps.fcc.gov/edocs_public/Query.do?docket=95-20")</f>
        <v>https://apps.fcc.gov/edocs_public/Query.do?docket=95-20</v>
      </c>
      <c r="E11" s="4" t="s">
        <v>233</v>
      </c>
      <c r="F11" s="4">
        <v>1380</v>
      </c>
      <c r="G11" s="11">
        <v>34737</v>
      </c>
      <c r="H11" s="11">
        <v>42355</v>
      </c>
    </row>
    <row r="12" spans="1:8" x14ac:dyDescent="0.25">
      <c r="A12" s="4" t="s">
        <v>158</v>
      </c>
      <c r="B12" s="4" t="str">
        <f>"97-213"</f>
        <v>97-213</v>
      </c>
      <c r="C12" s="8" t="str">
        <f>HYPERLINK("https://www.fcc.gov/ecfs/search/filings?proceedings_name=97-213&amp;sort=date_disseminated,DESC")</f>
        <v>https://www.fcc.gov/ecfs/search/filings?proceedings_name=97-213&amp;sort=date_disseminated,DESC</v>
      </c>
      <c r="D12" s="8" t="str">
        <f>HYPERLINK("https://apps.fcc.gov/edocs_public/Query.do?docket=97-213")</f>
        <v>https://apps.fcc.gov/edocs_public/Query.do?docket=97-213</v>
      </c>
      <c r="E12" s="4" t="s">
        <v>179</v>
      </c>
      <c r="F12" s="4">
        <v>2049</v>
      </c>
      <c r="G12" s="5">
        <v>35717</v>
      </c>
      <c r="H12" s="5">
        <v>41416</v>
      </c>
    </row>
    <row r="13" spans="1:8" ht="30" x14ac:dyDescent="0.25">
      <c r="A13" s="4" t="s">
        <v>158</v>
      </c>
      <c r="B13" s="4" t="s">
        <v>232</v>
      </c>
      <c r="C13" s="10" t="str">
        <f>HYPERLINK("https://www.fcc.gov/ecfs/search/filings?proceedings_name=98-10&amp;sort=date_disseminated,DESC")</f>
        <v>https://www.fcc.gov/ecfs/search/filings?proceedings_name=98-10&amp;sort=date_disseminated,DESC</v>
      </c>
      <c r="D13" s="10" t="str">
        <f>HYPERLINK("https://apps.fcc.gov/edocs_public/Query.do?docket=98-10")</f>
        <v>https://apps.fcc.gov/edocs_public/Query.do?docket=98-10</v>
      </c>
      <c r="E13" s="4" t="s">
        <v>234</v>
      </c>
      <c r="F13" s="4">
        <v>1132</v>
      </c>
      <c r="G13" s="11">
        <v>35829</v>
      </c>
      <c r="H13" s="11">
        <v>42496</v>
      </c>
    </row>
    <row r="14" spans="1:8" ht="60" x14ac:dyDescent="0.25">
      <c r="A14" s="4" t="s">
        <v>158</v>
      </c>
      <c r="B14" s="4" t="str">
        <f>"98-141"</f>
        <v>98-141</v>
      </c>
      <c r="C14" s="8" t="str">
        <f>HYPERLINK("https://www.fcc.gov/ecfs/search/filings?proceedings_name=98-141&amp;sort=date_disseminated,DESC")</f>
        <v>https://www.fcc.gov/ecfs/search/filings?proceedings_name=98-141&amp;sort=date_disseminated,DESC</v>
      </c>
      <c r="D14" s="8" t="str">
        <f>HYPERLINK("https://apps.fcc.gov/edocs_public/Query.do?docket=98-141")</f>
        <v>https://apps.fcc.gov/edocs_public/Query.do?docket=98-141</v>
      </c>
      <c r="E14" s="4" t="s">
        <v>174</v>
      </c>
      <c r="F14" s="4">
        <v>1810</v>
      </c>
      <c r="G14" s="5">
        <v>36004</v>
      </c>
      <c r="H14" s="5">
        <v>40308</v>
      </c>
    </row>
    <row r="15" spans="1:8" ht="75" x14ac:dyDescent="0.25">
      <c r="A15" s="4" t="s">
        <v>158</v>
      </c>
      <c r="B15" s="4" t="str">
        <f>"98-146"</f>
        <v>98-146</v>
      </c>
      <c r="C15" s="8" t="str">
        <f>HYPERLINK("https://www.fcc.gov/ecfs/search/filings?proceedings_name=98-146&amp;sort=date_disseminated,DESC")</f>
        <v>https://www.fcc.gov/ecfs/search/filings?proceedings_name=98-146&amp;sort=date_disseminated,DESC</v>
      </c>
      <c r="D15" s="8" t="str">
        <f>HYPERLINK("https://apps.fcc.gov/edocs_public/Query.do?docket=98-146")</f>
        <v>https://apps.fcc.gov/edocs_public/Query.do?docket=98-146</v>
      </c>
      <c r="E15" s="4" t="s">
        <v>173</v>
      </c>
      <c r="F15" s="4">
        <v>532</v>
      </c>
      <c r="G15" s="5">
        <v>36018</v>
      </c>
      <c r="H15" s="5">
        <v>39967</v>
      </c>
    </row>
    <row r="16" spans="1:8" ht="15" customHeight="1" x14ac:dyDescent="0.25">
      <c r="A16" s="4" t="s">
        <v>158</v>
      </c>
      <c r="B16" s="4" t="str">
        <f>"98-184"</f>
        <v>98-184</v>
      </c>
      <c r="C16" s="8" t="str">
        <f>HYPERLINK("https://www.fcc.gov/ecfs/search/filings?proceedings_name=98-184&amp;sort=date_disseminated,DESC")</f>
        <v>https://www.fcc.gov/ecfs/search/filings?proceedings_name=98-184&amp;sort=date_disseminated,DESC</v>
      </c>
      <c r="D16" s="8" t="str">
        <f>HYPERLINK("https://apps.fcc.gov/edocs_public/Query.do?docket=98-184")</f>
        <v>https://apps.fcc.gov/edocs_public/Query.do?docket=98-184</v>
      </c>
      <c r="E16" s="4" t="s">
        <v>172</v>
      </c>
      <c r="F16" s="4">
        <v>1001</v>
      </c>
      <c r="G16" s="5">
        <v>36091</v>
      </c>
      <c r="H16" s="5">
        <v>39430</v>
      </c>
    </row>
    <row r="17" spans="1:8" ht="30" x14ac:dyDescent="0.25">
      <c r="A17" s="4" t="s">
        <v>158</v>
      </c>
      <c r="B17" s="4" t="str">
        <f>"98-202"</f>
        <v>98-202</v>
      </c>
      <c r="C17" s="8" t="str">
        <f>HYPERLINK("https://www.fcc.gov/ecfs/search/filings?proceedings_name=98-202&amp;sort=date_disseminated,DESC")</f>
        <v>https://www.fcc.gov/ecfs/search/filings?proceedings_name=98-202&amp;sort=date_disseminated,DESC</v>
      </c>
      <c r="D17" s="8" t="str">
        <f>HYPERLINK("https://apps.fcc.gov/edocs_public/Query.do?docket=98-202")</f>
        <v>https://apps.fcc.gov/edocs_public/Query.do?docket=98-202</v>
      </c>
      <c r="E17" s="4" t="s">
        <v>171</v>
      </c>
      <c r="F17" s="4">
        <v>20</v>
      </c>
      <c r="G17" s="5">
        <v>36129</v>
      </c>
      <c r="H17" s="5">
        <v>40197</v>
      </c>
    </row>
    <row r="18" spans="1:8" ht="45" x14ac:dyDescent="0.25">
      <c r="A18" s="4" t="s">
        <v>158</v>
      </c>
      <c r="B18" s="4" t="str">
        <f>"98-67"</f>
        <v>98-67</v>
      </c>
      <c r="C18" s="8" t="str">
        <f>HYPERLINK("https://www.fcc.gov/ecfs/search/filings?proceedings_name=98-67&amp;sort=date_disseminated,DESC")</f>
        <v>https://www.fcc.gov/ecfs/search/filings?proceedings_name=98-67&amp;sort=date_disseminated,DESC</v>
      </c>
      <c r="D18" s="8" t="str">
        <f>HYPERLINK("https://apps.fcc.gov/edocs_public/Query.do?docket=98-67")</f>
        <v>https://apps.fcc.gov/edocs_public/Query.do?docket=98-67</v>
      </c>
      <c r="E18" s="4" t="s">
        <v>177</v>
      </c>
      <c r="F18" s="4">
        <v>4029</v>
      </c>
      <c r="G18" s="5">
        <v>35935</v>
      </c>
      <c r="H18" s="5">
        <v>40206</v>
      </c>
    </row>
    <row r="19" spans="1:8" ht="45" x14ac:dyDescent="0.25">
      <c r="A19" s="4" t="s">
        <v>158</v>
      </c>
      <c r="B19" s="4" t="str">
        <f>"99-216"</f>
        <v>99-216</v>
      </c>
      <c r="C19" s="8" t="str">
        <f>HYPERLINK("https://www.fcc.gov/ecfs/search/filings?proceedings_name=99-216&amp;sort=date_disseminated,DESC")</f>
        <v>https://www.fcc.gov/ecfs/search/filings?proceedings_name=99-216&amp;sort=date_disseminated,DESC</v>
      </c>
      <c r="D19" s="8" t="str">
        <f>HYPERLINK("https://apps.fcc.gov/edocs_public/Query.do?docket=99-216")</f>
        <v>https://apps.fcc.gov/edocs_public/Query.do?docket=99-216</v>
      </c>
      <c r="E19" s="4" t="s">
        <v>170</v>
      </c>
      <c r="F19" s="4">
        <v>100</v>
      </c>
      <c r="G19" s="5">
        <v>36322</v>
      </c>
      <c r="H19" s="5">
        <v>40938</v>
      </c>
    </row>
    <row r="20" spans="1:8" ht="75" x14ac:dyDescent="0.25">
      <c r="A20" s="4" t="s">
        <v>158</v>
      </c>
      <c r="B20" s="4" t="str">
        <f>"99-248"</f>
        <v>99-248</v>
      </c>
      <c r="C20" s="8" t="str">
        <f>HYPERLINK("https://www.fcc.gov/ecfs/search/filings?proceedings_name=99-248&amp;sort=date_disseminated,DESC")</f>
        <v>https://www.fcc.gov/ecfs/search/filings?proceedings_name=99-248&amp;sort=date_disseminated,DESC</v>
      </c>
      <c r="D20" s="8" t="str">
        <f>HYPERLINK("https://apps.fcc.gov/edocs_public/Query.do?docket=99-248")</f>
        <v>https://apps.fcc.gov/edocs_public/Query.do?docket=99-248</v>
      </c>
      <c r="E20" s="4" t="s">
        <v>169</v>
      </c>
      <c r="F20" s="4">
        <v>0</v>
      </c>
      <c r="G20" s="5">
        <v>36349</v>
      </c>
      <c r="H20" s="5">
        <v>36349</v>
      </c>
    </row>
    <row r="21" spans="1:8" ht="30" x14ac:dyDescent="0.25">
      <c r="A21" s="4" t="s">
        <v>6</v>
      </c>
      <c r="B21" s="4" t="str">
        <f>"03-84"</f>
        <v>03-84</v>
      </c>
      <c r="C21" s="8" t="str">
        <f>HYPERLINK("https://www.fcc.gov/ecfs/search/filings?proceedings_name=03-84&amp;sort=date_disseminated,DESC")</f>
        <v>https://www.fcc.gov/ecfs/search/filings?proceedings_name=03-84&amp;sort=date_disseminated,DESC</v>
      </c>
      <c r="D21" s="8" t="str">
        <f>HYPERLINK("https://apps.fcc.gov/edocs_public/Query.do?docket=03-84")</f>
        <v>https://apps.fcc.gov/edocs_public/Query.do?docket=03-84</v>
      </c>
      <c r="E21" s="4" t="s">
        <v>237</v>
      </c>
      <c r="F21" s="4">
        <v>27</v>
      </c>
      <c r="G21" s="5">
        <v>37705</v>
      </c>
      <c r="H21" s="5">
        <v>41521</v>
      </c>
    </row>
    <row r="22" spans="1:8" ht="45" x14ac:dyDescent="0.25">
      <c r="A22" s="4" t="s">
        <v>6</v>
      </c>
      <c r="B22" s="4" t="str">
        <f>"11-47"</f>
        <v>11-47</v>
      </c>
      <c r="C22" s="8" t="str">
        <f>HYPERLINK("https://www.fcc.gov/ecfs/search/filings?proceedings_name=11-47&amp;sort=date_disseminated,DESC")</f>
        <v>https://www.fcc.gov/ecfs/search/filings?proceedings_name=11-47&amp;sort=date_disseminated,DESC</v>
      </c>
      <c r="D22" s="8" t="str">
        <f>HYPERLINK("https://apps.fcc.gov/edocs_public/Query.do?docket=11-47")</f>
        <v>https://apps.fcc.gov/edocs_public/Query.do?docket=11-47</v>
      </c>
      <c r="E22" s="4" t="s">
        <v>238</v>
      </c>
      <c r="F22" s="4">
        <v>34</v>
      </c>
      <c r="G22" s="5">
        <v>40605</v>
      </c>
      <c r="H22" s="5">
        <v>41340</v>
      </c>
    </row>
    <row r="23" spans="1:8" ht="60" x14ac:dyDescent="0.25">
      <c r="A23" s="4" t="s">
        <v>6</v>
      </c>
      <c r="B23" s="4" t="str">
        <f>"11-50"</f>
        <v>11-50</v>
      </c>
      <c r="C23" s="8" t="str">
        <f>HYPERLINK("https://www.fcc.gov/ecfs/search/filings?proceedings_name=11-50&amp;sort=date_disseminated,DESC")</f>
        <v>https://www.fcc.gov/ecfs/search/filings?proceedings_name=11-50&amp;sort=date_disseminated,DESC</v>
      </c>
      <c r="D23" s="8" t="str">
        <f>HYPERLINK("https://apps.fcc.gov/edocs_public/Query.do?docket=11-50")</f>
        <v>https://apps.fcc.gov/edocs_public/Query.do?docket=11-50</v>
      </c>
      <c r="E23" s="4" t="s">
        <v>239</v>
      </c>
      <c r="F23" s="4">
        <v>83</v>
      </c>
      <c r="G23" s="5">
        <v>40613</v>
      </c>
      <c r="H23" s="5">
        <v>41446</v>
      </c>
    </row>
    <row r="24" spans="1:8" ht="30" x14ac:dyDescent="0.25">
      <c r="A24" s="4" t="s">
        <v>6</v>
      </c>
      <c r="B24" s="4" t="str">
        <f>"11-99"</f>
        <v>11-99</v>
      </c>
      <c r="C24" s="8" t="str">
        <f>HYPERLINK("https://www.fcc.gov/ecfs/search/filings?proceedings_name=11-99&amp;sort=date_disseminated,DESC")</f>
        <v>https://www.fcc.gov/ecfs/search/filings?proceedings_name=11-99&amp;sort=date_disseminated,DESC</v>
      </c>
      <c r="D24" s="8" t="str">
        <f>HYPERLINK("https://apps.fcc.gov/edocs_public/Query.do?docket=11-99")</f>
        <v>https://apps.fcc.gov/edocs_public/Query.do?docket=11-99</v>
      </c>
      <c r="E24" s="4" t="s">
        <v>242</v>
      </c>
      <c r="F24" s="4">
        <v>9</v>
      </c>
      <c r="G24" s="5">
        <v>40697</v>
      </c>
      <c r="H24" s="5">
        <v>40850</v>
      </c>
    </row>
    <row r="25" spans="1:8" ht="30" x14ac:dyDescent="0.25">
      <c r="A25" s="4" t="s">
        <v>6</v>
      </c>
      <c r="B25" s="4" t="str">
        <f>"12-39"</f>
        <v>12-39</v>
      </c>
      <c r="C25" s="8" t="str">
        <f>HYPERLINK("https://www.fcc.gov/ecfs/search/filings?proceedings_name=12-39&amp;sort=date_disseminated,DESC")</f>
        <v>https://www.fcc.gov/ecfs/search/filings?proceedings_name=12-39&amp;sort=date_disseminated,DESC</v>
      </c>
      <c r="D25" s="8" t="str">
        <f>HYPERLINK("https://apps.fcc.gov/edocs_public/Query.do?docket=12-39")</f>
        <v>https://apps.fcc.gov/edocs_public/Query.do?docket=12-39</v>
      </c>
      <c r="E25" s="4" t="s">
        <v>113</v>
      </c>
      <c r="F25" s="4">
        <v>4</v>
      </c>
      <c r="G25" s="5">
        <v>40953</v>
      </c>
      <c r="H25" s="5">
        <v>41207</v>
      </c>
    </row>
    <row r="26" spans="1:8" ht="45" x14ac:dyDescent="0.25">
      <c r="A26" s="4" t="s">
        <v>6</v>
      </c>
      <c r="B26" s="4" t="s">
        <v>219</v>
      </c>
      <c r="C26" s="10" t="str">
        <f>HYPERLINK("https://www.fcc.gov/ecfs/search/filings?proceedings_name=14-157&amp;sort=date_disseminated,DESC")</f>
        <v>https://www.fcc.gov/ecfs/search/filings?proceedings_name=14-157&amp;sort=date_disseminated,DESC</v>
      </c>
      <c r="D26" s="10" t="str">
        <f>HYPERLINK("https://apps.fcc.gov/edocs_public/Query.do?docket=14-157")</f>
        <v>https://apps.fcc.gov/edocs_public/Query.do?docket=14-157</v>
      </c>
      <c r="E26" s="6" t="s">
        <v>224</v>
      </c>
      <c r="F26" s="4">
        <v>5</v>
      </c>
      <c r="G26" s="5">
        <v>41898</v>
      </c>
      <c r="H26" s="5">
        <v>41995</v>
      </c>
    </row>
    <row r="27" spans="1:8" ht="45" x14ac:dyDescent="0.25">
      <c r="A27" s="4" t="s">
        <v>6</v>
      </c>
      <c r="B27" s="4" t="str">
        <f>"14-19"</f>
        <v>14-19</v>
      </c>
      <c r="C27" s="8" t="str">
        <f>HYPERLINK("https://www.fcc.gov/ecfs/search/filings?proceedings_name=14-19&amp;sort=date_disseminated,DESC")</f>
        <v>https://www.fcc.gov/ecfs/search/filings?proceedings_name=14-19&amp;sort=date_disseminated,DESC</v>
      </c>
      <c r="D27" s="8" t="str">
        <f>HYPERLINK("https://apps.fcc.gov/edocs_public/Query.do?docket=14-19")</f>
        <v>https://apps.fcc.gov/edocs_public/Query.do?docket=14-19</v>
      </c>
      <c r="E27" s="4" t="s">
        <v>22</v>
      </c>
      <c r="F27" s="4">
        <v>3</v>
      </c>
      <c r="G27" s="5">
        <v>41670</v>
      </c>
      <c r="H27" s="5">
        <v>41680</v>
      </c>
    </row>
    <row r="28" spans="1:8" ht="30" x14ac:dyDescent="0.25">
      <c r="A28" s="4" t="s">
        <v>6</v>
      </c>
      <c r="B28" s="4" t="s">
        <v>220</v>
      </c>
      <c r="C28" s="10" t="str">
        <f>HYPERLINK("https://www.fcc.gov/ecfs/search/filings?proceedings_name=14-97&amp;sort=date_disseminated,DESC")</f>
        <v>https://www.fcc.gov/ecfs/search/filings?proceedings_name=14-97&amp;sort=date_disseminated,DESC</v>
      </c>
      <c r="D28" s="10" t="str">
        <f>HYPERLINK("https://apps.fcc.gov/edocs_public/Query.do?docket=14-97")</f>
        <v>https://apps.fcc.gov/edocs_public/Query.do?docket=14-97</v>
      </c>
      <c r="E28" s="6" t="s">
        <v>225</v>
      </c>
      <c r="F28" s="4">
        <v>8</v>
      </c>
      <c r="G28" s="5">
        <v>41816</v>
      </c>
      <c r="H28" s="5">
        <v>41977</v>
      </c>
    </row>
    <row r="29" spans="1:8" ht="30" x14ac:dyDescent="0.25">
      <c r="A29" s="4" t="s">
        <v>6</v>
      </c>
      <c r="B29" s="4" t="s">
        <v>221</v>
      </c>
      <c r="C29" s="10" t="str">
        <f>HYPERLINK("https://www.fcc.gov/ecfs/search/filings?proceedings_name=16-16&amp;sort=date_disseminated,DESC")</f>
        <v>https://www.fcc.gov/ecfs/search/filings?proceedings_name=16-16&amp;sort=date_disseminated,DESC</v>
      </c>
      <c r="D29" s="10" t="str">
        <f>HYPERLINK("https://apps.fcc.gov/edocs_public/Query.do?docket=16-16")</f>
        <v>https://apps.fcc.gov/edocs_public/Query.do?docket=16-16</v>
      </c>
      <c r="E29" s="6" t="s">
        <v>226</v>
      </c>
      <c r="F29" s="4">
        <v>4</v>
      </c>
      <c r="G29" s="5">
        <v>42384</v>
      </c>
      <c r="H29" s="5">
        <v>42576</v>
      </c>
    </row>
    <row r="30" spans="1:8" ht="45" x14ac:dyDescent="0.25">
      <c r="A30" s="4" t="s">
        <v>6</v>
      </c>
      <c r="B30" s="4" t="str">
        <f>"RM-11530"</f>
        <v>RM-11530</v>
      </c>
      <c r="C30" s="8" t="str">
        <f>HYPERLINK("https://www.fcc.gov/ecfs/search/filings?proceedings_name=RM-11530&amp;sort=date_disseminated,DESC")</f>
        <v>https://www.fcc.gov/ecfs/search/filings?proceedings_name=RM-11530&amp;sort=date_disseminated,DESC</v>
      </c>
      <c r="D30" s="8" t="str">
        <f>HYPERLINK("https://apps.fcc.gov/edocs_public/Query.do?docket=RM-11530")</f>
        <v>https://apps.fcc.gov/edocs_public/Query.do?docket=RM-11530</v>
      </c>
      <c r="E30" s="4" t="s">
        <v>135</v>
      </c>
      <c r="F30" s="4">
        <v>1</v>
      </c>
      <c r="G30" s="5">
        <v>39932</v>
      </c>
      <c r="H30" s="5">
        <v>39932</v>
      </c>
    </row>
    <row r="31" spans="1:8" ht="15" customHeight="1" x14ac:dyDescent="0.25">
      <c r="A31" s="4" t="s">
        <v>49</v>
      </c>
      <c r="B31" s="4" t="str">
        <f>"03-197"</f>
        <v>03-197</v>
      </c>
      <c r="C31" s="8" t="str">
        <f>HYPERLINK("https://www.fcc.gov/ecfs/search/filings?proceedings_name=03-197&amp;sort=date_disseminated,DESC")</f>
        <v>https://www.fcc.gov/ecfs/search/filings?proceedings_name=03-197&amp;sort=date_disseminated,DESC</v>
      </c>
      <c r="D31" s="8" t="str">
        <f>HYPERLINK("https://apps.fcc.gov/edocs_public/Query.do?docket=03-197")</f>
        <v>https://apps.fcc.gov/edocs_public/Query.do?docket=03-197</v>
      </c>
      <c r="E31" s="4" t="s">
        <v>240</v>
      </c>
      <c r="F31" s="4">
        <v>32</v>
      </c>
      <c r="G31" s="5">
        <v>37874</v>
      </c>
      <c r="H31" s="5">
        <v>41311</v>
      </c>
    </row>
    <row r="32" spans="1:8" ht="60" x14ac:dyDescent="0.25">
      <c r="A32" s="4" t="s">
        <v>49</v>
      </c>
      <c r="B32" s="4" t="str">
        <f>"07-147"</f>
        <v>07-147</v>
      </c>
      <c r="C32" s="8" t="str">
        <f>HYPERLINK("https://www.fcc.gov/ecfs/search/filings?proceedings_name=07-147&amp;sort=date_disseminated,DESC")</f>
        <v>https://www.fcc.gov/ecfs/search/filings?proceedings_name=07-147&amp;sort=date_disseminated,DESC</v>
      </c>
      <c r="D32" s="8" t="str">
        <f>HYPERLINK("https://apps.fcc.gov/edocs_public/Query.do?docket=07-147")</f>
        <v>https://apps.fcc.gov/edocs_public/Query.do?docket=07-147</v>
      </c>
      <c r="E32" s="4" t="s">
        <v>241</v>
      </c>
      <c r="F32" s="4">
        <v>213</v>
      </c>
      <c r="G32" s="5">
        <v>39282</v>
      </c>
      <c r="H32" s="5">
        <v>41740</v>
      </c>
    </row>
    <row r="33" spans="1:8" x14ac:dyDescent="0.25">
      <c r="A33" s="4" t="s">
        <v>49</v>
      </c>
      <c r="B33" s="4" t="str">
        <f>"RM-11675"</f>
        <v>RM-11675</v>
      </c>
      <c r="C33" s="8" t="str">
        <f>HYPERLINK("https://www.fcc.gov/ecfs/search/filings?proceedings_name=RM-11675&amp;sort=date_disseminated,DESC")</f>
        <v>https://www.fcc.gov/ecfs/search/filings?proceedings_name=RM-11675&amp;sort=date_disseminated,DESC</v>
      </c>
      <c r="D33" s="8" t="str">
        <f>HYPERLINK("https://apps.fcc.gov/edocs_public/Query.do?docket=RM-11675")</f>
        <v>https://apps.fcc.gov/edocs_public/Query.do?docket=RM-11675</v>
      </c>
      <c r="E33" s="4" t="s">
        <v>80</v>
      </c>
      <c r="F33" s="4">
        <v>8</v>
      </c>
      <c r="G33" s="5">
        <v>41152</v>
      </c>
      <c r="H33" s="5">
        <v>41743</v>
      </c>
    </row>
    <row r="34" spans="1:8" ht="75" x14ac:dyDescent="0.25">
      <c r="A34" s="4" t="s">
        <v>3</v>
      </c>
      <c r="B34" s="4" t="str">
        <f>"09-137"</f>
        <v>09-137</v>
      </c>
      <c r="C34" s="8" t="str">
        <f>HYPERLINK("https://www.fcc.gov/ecfs/search/filings?proceedings_name=09-137&amp;sort=date_disseminated,DESC")</f>
        <v>https://www.fcc.gov/ecfs/search/filings?proceedings_name=09-137&amp;sort=date_disseminated,DESC</v>
      </c>
      <c r="D34" s="8" t="str">
        <f>HYPERLINK("https://apps.fcc.gov/edocs_public/Query.do?docket=09-137")</f>
        <v>https://apps.fcc.gov/edocs_public/Query.do?docket=09-137</v>
      </c>
      <c r="E34" s="4" t="s">
        <v>243</v>
      </c>
      <c r="F34" s="4">
        <v>1911</v>
      </c>
      <c r="G34" s="5">
        <v>40025</v>
      </c>
      <c r="H34" s="5">
        <v>41515</v>
      </c>
    </row>
    <row r="35" spans="1:8" ht="75" x14ac:dyDescent="0.25">
      <c r="A35" s="4" t="s">
        <v>3</v>
      </c>
      <c r="B35" s="4" t="str">
        <f>"10-159"</f>
        <v>10-159</v>
      </c>
      <c r="C35" s="8" t="str">
        <f>HYPERLINK("https://www.fcc.gov/ecfs/search/filings?proceedings_name=10-159&amp;sort=date_disseminated,DESC")</f>
        <v>https://www.fcc.gov/ecfs/search/filings?proceedings_name=10-159&amp;sort=date_disseminated,DESC</v>
      </c>
      <c r="D35" s="8" t="str">
        <f>HYPERLINK("https://apps.fcc.gov/edocs_public/Query.do?docket=10-159")</f>
        <v>https://apps.fcc.gov/edocs_public/Query.do?docket=10-159</v>
      </c>
      <c r="E35" s="4" t="s">
        <v>244</v>
      </c>
      <c r="F35" s="4">
        <v>40</v>
      </c>
      <c r="G35" s="5">
        <v>40399</v>
      </c>
      <c r="H35" s="5">
        <v>40774</v>
      </c>
    </row>
    <row r="36" spans="1:8" ht="75" x14ac:dyDescent="0.25">
      <c r="A36" s="4" t="s">
        <v>3</v>
      </c>
      <c r="B36" s="4" t="str">
        <f>"11-121"</f>
        <v>11-121</v>
      </c>
      <c r="C36" s="8" t="str">
        <f>HYPERLINK("https://www.fcc.gov/ecfs/search/filings?proceedings_name=11-121&amp;sort=date_disseminated,DESC")</f>
        <v>https://www.fcc.gov/ecfs/search/filings?proceedings_name=11-121&amp;sort=date_disseminated,DESC</v>
      </c>
      <c r="D36" s="8" t="str">
        <f>HYPERLINK("https://apps.fcc.gov/edocs_public/Query.do?docket=11-121")</f>
        <v>https://apps.fcc.gov/edocs_public/Query.do?docket=11-121</v>
      </c>
      <c r="E36" s="4" t="s">
        <v>245</v>
      </c>
      <c r="F36" s="4">
        <v>39</v>
      </c>
      <c r="G36" s="5">
        <v>40739</v>
      </c>
      <c r="H36" s="5">
        <v>41191</v>
      </c>
    </row>
    <row r="37" spans="1:8" x14ac:dyDescent="0.25">
      <c r="A37" s="4" t="s">
        <v>3</v>
      </c>
      <c r="B37" s="4" t="str">
        <f>"89-478"</f>
        <v>89-478</v>
      </c>
      <c r="C37" s="8" t="str">
        <f>HYPERLINK("https://www.fcc.gov/ecfs/search/filings?proceedings_name=89-478&amp;sort=date_disseminated,DESC")</f>
        <v>https://www.fcc.gov/ecfs/search/filings?proceedings_name=89-478&amp;sort=date_disseminated,DESC</v>
      </c>
      <c r="D37" s="8" t="str">
        <f>HYPERLINK("https://apps.fcc.gov/edocs_public/Query.do?docket=89-478")</f>
        <v>https://apps.fcc.gov/edocs_public/Query.do?docket=89-478</v>
      </c>
      <c r="E37" s="4" t="s">
        <v>208</v>
      </c>
      <c r="F37" s="4">
        <v>3</v>
      </c>
      <c r="G37" s="5">
        <v>33533</v>
      </c>
      <c r="H37" s="5">
        <v>39990</v>
      </c>
    </row>
    <row r="38" spans="1:8" x14ac:dyDescent="0.25">
      <c r="A38" s="4" t="s">
        <v>3</v>
      </c>
      <c r="B38" s="4" t="str">
        <f>"89-608"</f>
        <v>89-608</v>
      </c>
      <c r="C38" s="8" t="str">
        <f>HYPERLINK("https://www.fcc.gov/ecfs/search/filings?proceedings_name=89-608&amp;sort=date_disseminated,DESC")</f>
        <v>https://www.fcc.gov/ecfs/search/filings?proceedings_name=89-608&amp;sort=date_disseminated,DESC</v>
      </c>
      <c r="D38" s="8" t="str">
        <f>HYPERLINK("https://apps.fcc.gov/edocs_public/Query.do?docket=89-608")</f>
        <v>https://apps.fcc.gov/edocs_public/Query.do?docket=89-608</v>
      </c>
      <c r="E38" s="4" t="s">
        <v>212</v>
      </c>
      <c r="F38" s="4">
        <v>2</v>
      </c>
      <c r="G38" s="5">
        <v>33533</v>
      </c>
      <c r="H38" s="5">
        <v>39913</v>
      </c>
    </row>
    <row r="39" spans="1:8" ht="30" x14ac:dyDescent="0.25">
      <c r="A39" s="4" t="s">
        <v>3</v>
      </c>
      <c r="B39" s="4" t="str">
        <f>"89-97"</f>
        <v>89-97</v>
      </c>
      <c r="C39" s="8" t="str">
        <f>HYPERLINK("https://www.fcc.gov/ecfs/search/filings?proceedings_name=89-97&amp;sort=date_disseminated,DESC")</f>
        <v>https://www.fcc.gov/ecfs/search/filings?proceedings_name=89-97&amp;sort=date_disseminated,DESC</v>
      </c>
      <c r="D39" s="8" t="str">
        <f>HYPERLINK("https://apps.fcc.gov/edocs_public/Query.do?docket=89-97")</f>
        <v>https://apps.fcc.gov/edocs_public/Query.do?docket=89-97</v>
      </c>
      <c r="E39" s="4" t="s">
        <v>206</v>
      </c>
      <c r="F39" s="4">
        <v>19</v>
      </c>
      <c r="G39" s="5">
        <v>33533</v>
      </c>
      <c r="H39" s="5">
        <v>41135</v>
      </c>
    </row>
    <row r="40" spans="1:8" ht="15" customHeight="1" x14ac:dyDescent="0.25">
      <c r="A40" s="4" t="s">
        <v>3</v>
      </c>
      <c r="B40" s="4" t="str">
        <f>"90-498"</f>
        <v>90-498</v>
      </c>
      <c r="C40" s="8" t="str">
        <f>HYPERLINK("https://www.fcc.gov/ecfs/search/filings?proceedings_name=90-498&amp;sort=date_disseminated,DESC")</f>
        <v>https://www.fcc.gov/ecfs/search/filings?proceedings_name=90-498&amp;sort=date_disseminated,DESC</v>
      </c>
      <c r="D40" s="8" t="str">
        <f>HYPERLINK("https://apps.fcc.gov/edocs_public/Query.do?docket=90-498")</f>
        <v>https://apps.fcc.gov/edocs_public/Query.do?docket=90-498</v>
      </c>
      <c r="E40" s="4" t="s">
        <v>209</v>
      </c>
      <c r="F40" s="4">
        <v>2</v>
      </c>
      <c r="G40" s="5">
        <v>33533</v>
      </c>
      <c r="H40" s="5">
        <v>39896</v>
      </c>
    </row>
    <row r="41" spans="1:8" ht="60" x14ac:dyDescent="0.25">
      <c r="A41" s="4" t="s">
        <v>3</v>
      </c>
      <c r="B41" s="4" t="str">
        <f>"98-68"</f>
        <v>98-68</v>
      </c>
      <c r="C41" s="8" t="str">
        <f>HYPERLINK("https://www.fcc.gov/ecfs/search/filings?proceedings_name=98-68&amp;sort=date_disseminated,DESC")</f>
        <v>https://www.fcc.gov/ecfs/search/filings?proceedings_name=98-68&amp;sort=date_disseminated,DESC</v>
      </c>
      <c r="D41" s="8" t="str">
        <f>HYPERLINK("https://apps.fcc.gov/edocs_public/Query.do?docket=98-68")</f>
        <v>https://apps.fcc.gov/edocs_public/Query.do?docket=98-68</v>
      </c>
      <c r="E41" s="4" t="s">
        <v>178</v>
      </c>
      <c r="F41" s="4">
        <v>69</v>
      </c>
      <c r="G41" s="5">
        <v>35935</v>
      </c>
      <c r="H41" s="5">
        <v>40157</v>
      </c>
    </row>
    <row r="42" spans="1:8" ht="45" x14ac:dyDescent="0.25">
      <c r="A42" s="4" t="s">
        <v>3</v>
      </c>
      <c r="B42" s="4" t="str">
        <f>"RM-7509"</f>
        <v>RM-7509</v>
      </c>
      <c r="C42" s="8" t="str">
        <f>HYPERLINK("https://www.fcc.gov/ecfs/search/filings?proceedings_name=RM-7509&amp;sort=date_disseminated,DESC")</f>
        <v>https://www.fcc.gov/ecfs/search/filings?proceedings_name=RM-7509&amp;sort=date_disseminated,DESC</v>
      </c>
      <c r="D42" s="8" t="str">
        <f>HYPERLINK("https://apps.fcc.gov/edocs_public/Query.do?docket=RM-7509")</f>
        <v>https://apps.fcc.gov/edocs_public/Query.do?docket=RM-7509</v>
      </c>
      <c r="E42" s="4" t="s">
        <v>236</v>
      </c>
      <c r="F42" s="4">
        <v>0</v>
      </c>
      <c r="G42" s="5">
        <v>33533</v>
      </c>
      <c r="H42" s="5">
        <v>33533</v>
      </c>
    </row>
    <row r="43" spans="1:8" ht="15" customHeight="1" x14ac:dyDescent="0.25">
      <c r="A43" s="4" t="s">
        <v>102</v>
      </c>
      <c r="B43" s="4" t="str">
        <f>"00-148"</f>
        <v>00-148</v>
      </c>
      <c r="C43" s="8" t="str">
        <f>HYPERLINK("https://www.fcc.gov/ecfs/search/filings?proceedings_name=00-148&amp;sort=date_disseminated,DESC")</f>
        <v>https://www.fcc.gov/ecfs/search/filings?proceedings_name=00-148&amp;sort=date_disseminated,DESC</v>
      </c>
      <c r="D43" s="8" t="str">
        <f>HYPERLINK("https://apps.fcc.gov/edocs_public/Query.do?docket=00-148")</f>
        <v>https://apps.fcc.gov/edocs_public/Query.do?docket=00-148</v>
      </c>
      <c r="E43" s="4" t="s">
        <v>90</v>
      </c>
      <c r="F43" s="4">
        <v>95</v>
      </c>
      <c r="G43" s="5">
        <v>36759</v>
      </c>
      <c r="H43" s="5">
        <v>41891</v>
      </c>
    </row>
    <row r="44" spans="1:8" ht="15" customHeight="1" x14ac:dyDescent="0.25">
      <c r="A44" s="4" t="s">
        <v>102</v>
      </c>
      <c r="B44" s="4" t="str">
        <f>"00-173"</f>
        <v>00-173</v>
      </c>
      <c r="C44" s="8" t="str">
        <f>HYPERLINK("https://www.fcc.gov/ecfs/search/filings?proceedings_name=00-173&amp;sort=date_disseminated,DESC")</f>
        <v>https://www.fcc.gov/ecfs/search/filings?proceedings_name=00-173&amp;sort=date_disseminated,DESC</v>
      </c>
      <c r="D44" s="8" t="str">
        <f>HYPERLINK("https://apps.fcc.gov/edocs_public/Query.do?docket=00-173")</f>
        <v>https://apps.fcc.gov/edocs_public/Query.do?docket=00-173</v>
      </c>
      <c r="E44" s="4" t="s">
        <v>90</v>
      </c>
      <c r="F44" s="4">
        <v>8</v>
      </c>
      <c r="G44" s="5">
        <v>36794</v>
      </c>
      <c r="H44" s="5">
        <v>37237</v>
      </c>
    </row>
    <row r="45" spans="1:8" x14ac:dyDescent="0.25">
      <c r="A45" s="4" t="s">
        <v>102</v>
      </c>
      <c r="B45" s="4" t="str">
        <f>"00-244"</f>
        <v>00-244</v>
      </c>
      <c r="C45" s="8" t="str">
        <f>HYPERLINK("https://www.fcc.gov/ecfs/search/filings?proceedings_name=00-244&amp;sort=date_disseminated,DESC")</f>
        <v>https://www.fcc.gov/ecfs/search/filings?proceedings_name=00-244&amp;sort=date_disseminated,DESC</v>
      </c>
      <c r="D45" s="8" t="str">
        <f>HYPERLINK("https://apps.fcc.gov/edocs_public/Query.do?docket=00-244")</f>
        <v>https://apps.fcc.gov/edocs_public/Query.do?docket=00-244</v>
      </c>
      <c r="E45" s="4" t="s">
        <v>165</v>
      </c>
      <c r="F45" s="4">
        <v>1785</v>
      </c>
      <c r="G45" s="5">
        <v>36867</v>
      </c>
      <c r="H45" s="5">
        <v>41814</v>
      </c>
    </row>
    <row r="46" spans="1:8" x14ac:dyDescent="0.25">
      <c r="A46" s="4" t="s">
        <v>102</v>
      </c>
      <c r="B46" s="4" t="str">
        <f>"01-187"</f>
        <v>01-187</v>
      </c>
      <c r="C46" s="8" t="str">
        <f>HYPERLINK("https://www.fcc.gov/ecfs/search/filings?proceedings_name=01-187&amp;sort=date_disseminated,DESC")</f>
        <v>https://www.fcc.gov/ecfs/search/filings?proceedings_name=01-187&amp;sort=date_disseminated,DESC</v>
      </c>
      <c r="D46" s="8" t="str">
        <f>HYPERLINK("https://apps.fcc.gov/edocs_public/Query.do?docket=01-187")</f>
        <v>https://apps.fcc.gov/edocs_public/Query.do?docket=01-187</v>
      </c>
      <c r="E46" s="4" t="s">
        <v>147</v>
      </c>
      <c r="F46" s="4">
        <v>3</v>
      </c>
      <c r="G46" s="5">
        <v>37112</v>
      </c>
      <c r="H46" s="5">
        <v>37201</v>
      </c>
    </row>
    <row r="47" spans="1:8" ht="30" x14ac:dyDescent="0.25">
      <c r="A47" s="4" t="s">
        <v>102</v>
      </c>
      <c r="B47" s="4" t="str">
        <f>"01-317"</f>
        <v>01-317</v>
      </c>
      <c r="C47" s="8" t="str">
        <f>HYPERLINK("https://www.fcc.gov/ecfs/search/filings?proceedings_name=01-317&amp;sort=date_disseminated,DESC")</f>
        <v>https://www.fcc.gov/ecfs/search/filings?proceedings_name=01-317&amp;sort=date_disseminated,DESC</v>
      </c>
      <c r="D47" s="8" t="str">
        <f>HYPERLINK("https://apps.fcc.gov/edocs_public/Query.do?docket=01-317")</f>
        <v>https://apps.fcc.gov/edocs_public/Query.do?docket=01-317</v>
      </c>
      <c r="E47" s="4" t="s">
        <v>161</v>
      </c>
      <c r="F47" s="4">
        <v>1705</v>
      </c>
      <c r="G47" s="5">
        <v>37203</v>
      </c>
      <c r="H47" s="5">
        <v>41814</v>
      </c>
    </row>
    <row r="48" spans="1:8" x14ac:dyDescent="0.25">
      <c r="A48" s="4" t="s">
        <v>102</v>
      </c>
      <c r="B48" s="4" t="str">
        <f>"87-109"</f>
        <v>87-109</v>
      </c>
      <c r="C48" s="8" t="str">
        <f>HYPERLINK("https://www.fcc.gov/ecfs/search/filings?proceedings_name=87-109&amp;sort=date_disseminated,DESC")</f>
        <v>https://www.fcc.gov/ecfs/search/filings?proceedings_name=87-109&amp;sort=date_disseminated,DESC</v>
      </c>
      <c r="D48" s="8" t="str">
        <f>HYPERLINK("https://apps.fcc.gov/edocs_public/Query.do?docket=87-109")</f>
        <v>https://apps.fcc.gov/edocs_public/Query.do?docket=87-109</v>
      </c>
      <c r="E48" s="4" t="s">
        <v>207</v>
      </c>
      <c r="F48" s="4">
        <v>1</v>
      </c>
      <c r="G48" s="5">
        <v>33533</v>
      </c>
      <c r="H48" s="5">
        <v>36013</v>
      </c>
    </row>
    <row r="49" spans="1:8" ht="30" x14ac:dyDescent="0.25">
      <c r="A49" s="4" t="s">
        <v>102</v>
      </c>
      <c r="B49" s="4" t="str">
        <f>"87-154"</f>
        <v>87-154</v>
      </c>
      <c r="C49" s="8" t="str">
        <f>HYPERLINK("https://www.fcc.gov/ecfs/search/filings?proceedings_name=87-154&amp;sort=date_disseminated,DESC")</f>
        <v>https://www.fcc.gov/ecfs/search/filings?proceedings_name=87-154&amp;sort=date_disseminated,DESC</v>
      </c>
      <c r="D49" s="8" t="str">
        <f>HYPERLINK("https://apps.fcc.gov/edocs_public/Query.do?docket=87-154")</f>
        <v>https://apps.fcc.gov/edocs_public/Query.do?docket=87-154</v>
      </c>
      <c r="E49" s="4" t="s">
        <v>204</v>
      </c>
      <c r="F49" s="4">
        <v>124</v>
      </c>
      <c r="G49" s="5">
        <v>33533</v>
      </c>
      <c r="H49" s="5">
        <v>39555</v>
      </c>
    </row>
    <row r="50" spans="1:8" ht="15" customHeight="1" x14ac:dyDescent="0.25">
      <c r="A50" s="4" t="s">
        <v>102</v>
      </c>
      <c r="B50" s="4" t="str">
        <f>"87-405"</f>
        <v>87-405</v>
      </c>
      <c r="C50" s="8" t="str">
        <f>HYPERLINK("https://www.fcc.gov/ecfs/search/filings?proceedings_name=87-405&amp;sort=date_disseminated,DESC")</f>
        <v>https://www.fcc.gov/ecfs/search/filings?proceedings_name=87-405&amp;sort=date_disseminated,DESC</v>
      </c>
      <c r="D50" s="8" t="str">
        <f>HYPERLINK("https://apps.fcc.gov/edocs_public/Query.do?docket=87-405")</f>
        <v>https://apps.fcc.gov/edocs_public/Query.do?docket=87-405</v>
      </c>
      <c r="E50" s="4" t="s">
        <v>205</v>
      </c>
      <c r="F50" s="4">
        <v>1</v>
      </c>
      <c r="G50" s="5">
        <v>33533</v>
      </c>
      <c r="H50" s="5">
        <v>36131</v>
      </c>
    </row>
    <row r="51" spans="1:8" x14ac:dyDescent="0.25">
      <c r="A51" s="4" t="s">
        <v>102</v>
      </c>
      <c r="B51" s="4" t="str">
        <f>"88-109"</f>
        <v>88-109</v>
      </c>
      <c r="C51" s="8" t="str">
        <f>HYPERLINK("https://www.fcc.gov/ecfs/search/filings?proceedings_name=88-109&amp;sort=date_disseminated,DESC")</f>
        <v>https://www.fcc.gov/ecfs/search/filings?proceedings_name=88-109&amp;sort=date_disseminated,DESC</v>
      </c>
      <c r="D51" s="8" t="str">
        <f>HYPERLINK("https://apps.fcc.gov/edocs_public/Query.do?docket=88-109")</f>
        <v>https://apps.fcc.gov/edocs_public/Query.do?docket=88-109</v>
      </c>
      <c r="E51" s="4" t="s">
        <v>205</v>
      </c>
      <c r="F51" s="4">
        <v>1</v>
      </c>
      <c r="G51" s="5">
        <v>33533</v>
      </c>
      <c r="H51" s="5">
        <v>36013</v>
      </c>
    </row>
    <row r="52" spans="1:8" ht="15" customHeight="1" x14ac:dyDescent="0.25">
      <c r="A52" s="4" t="s">
        <v>102</v>
      </c>
      <c r="B52" s="4" t="str">
        <f>"88-545"</f>
        <v>88-545</v>
      </c>
      <c r="C52" s="8" t="str">
        <f>HYPERLINK("https://www.fcc.gov/ecfs/search/filings?proceedings_name=88-545&amp;sort=date_disseminated,DESC")</f>
        <v>https://www.fcc.gov/ecfs/search/filings?proceedings_name=88-545&amp;sort=date_disseminated,DESC</v>
      </c>
      <c r="D52" s="8" t="str">
        <f>HYPERLINK("https://apps.fcc.gov/edocs_public/Query.do?docket=88-545")</f>
        <v>https://apps.fcc.gov/edocs_public/Query.do?docket=88-545</v>
      </c>
      <c r="E52" s="4" t="s">
        <v>205</v>
      </c>
      <c r="F52" s="4">
        <v>1</v>
      </c>
      <c r="G52" s="5">
        <v>33533</v>
      </c>
      <c r="H52" s="5">
        <v>36013</v>
      </c>
    </row>
    <row r="53" spans="1:8" ht="15" customHeight="1" x14ac:dyDescent="0.25">
      <c r="A53" s="4" t="s">
        <v>102</v>
      </c>
      <c r="B53" s="4" t="str">
        <f>"89-86"</f>
        <v>89-86</v>
      </c>
      <c r="C53" s="8" t="str">
        <f>HYPERLINK("https://www.fcc.gov/ecfs/search/filings?proceedings_name=89-86&amp;sort=date_disseminated,DESC")</f>
        <v>https://www.fcc.gov/ecfs/search/filings?proceedings_name=89-86&amp;sort=date_disseminated,DESC</v>
      </c>
      <c r="D53" s="8" t="str">
        <f>HYPERLINK("https://apps.fcc.gov/edocs_public/Query.do?docket=89-86")</f>
        <v>https://apps.fcc.gov/edocs_public/Query.do?docket=89-86</v>
      </c>
      <c r="E53" s="4" t="s">
        <v>205</v>
      </c>
      <c r="F53" s="4">
        <v>1</v>
      </c>
      <c r="G53" s="5">
        <v>33533</v>
      </c>
      <c r="H53" s="5">
        <v>36013</v>
      </c>
    </row>
    <row r="54" spans="1:8" ht="60" x14ac:dyDescent="0.25">
      <c r="A54" s="4" t="s">
        <v>102</v>
      </c>
      <c r="B54" s="4" t="str">
        <f>"92-264"</f>
        <v>92-264</v>
      </c>
      <c r="C54" s="8" t="str">
        <f>HYPERLINK("https://www.fcc.gov/ecfs/search/filings?proceedings_name=92-264&amp;sort=date_disseminated,DESC")</f>
        <v>https://www.fcc.gov/ecfs/search/filings?proceedings_name=92-264&amp;sort=date_disseminated,DESC</v>
      </c>
      <c r="D54" s="8" t="str">
        <f>HYPERLINK("https://apps.fcc.gov/edocs_public/Query.do?docket=92-264")</f>
        <v>https://apps.fcc.gov/edocs_public/Query.do?docket=92-264</v>
      </c>
      <c r="E54" s="4" t="s">
        <v>196</v>
      </c>
      <c r="F54" s="4">
        <v>20231</v>
      </c>
      <c r="G54" s="5">
        <v>33952</v>
      </c>
      <c r="H54" s="5">
        <v>41684</v>
      </c>
    </row>
    <row r="55" spans="1:8" ht="30" x14ac:dyDescent="0.25">
      <c r="A55" s="4" t="s">
        <v>102</v>
      </c>
      <c r="B55" s="4" t="str">
        <f>"92-51"</f>
        <v>92-51</v>
      </c>
      <c r="C55" s="8" t="str">
        <f>HYPERLINK("https://www.fcc.gov/ecfs/search/filings?proceedings_name=92-51&amp;sort=date_disseminated,DESC")</f>
        <v>https://www.fcc.gov/ecfs/search/filings?proceedings_name=92-51&amp;sort=date_disseminated,DESC</v>
      </c>
      <c r="D55" s="8" t="str">
        <f>HYPERLINK("https://apps.fcc.gov/edocs_public/Query.do?docket=92-51")</f>
        <v>https://apps.fcc.gov/edocs_public/Query.do?docket=92-51</v>
      </c>
      <c r="E55" s="4" t="s">
        <v>202</v>
      </c>
      <c r="F55" s="4">
        <v>429</v>
      </c>
      <c r="G55" s="5">
        <v>33687</v>
      </c>
      <c r="H55" s="5">
        <v>39570</v>
      </c>
    </row>
    <row r="56" spans="1:8" ht="30" x14ac:dyDescent="0.25">
      <c r="A56" s="4" t="s">
        <v>102</v>
      </c>
      <c r="B56" s="4" t="str">
        <f>"94-150"</f>
        <v>94-150</v>
      </c>
      <c r="C56" s="8" t="str">
        <f>HYPERLINK("https://www.fcc.gov/ecfs/search/filings?proceedings_name=94-150&amp;sort=date_disseminated,DESC")</f>
        <v>https://www.fcc.gov/ecfs/search/filings?proceedings_name=94-150&amp;sort=date_disseminated,DESC</v>
      </c>
      <c r="D56" s="8" t="str">
        <f>HYPERLINK("https://apps.fcc.gov/edocs_public/Query.do?docket=94-150")</f>
        <v>https://apps.fcc.gov/edocs_public/Query.do?docket=94-150</v>
      </c>
      <c r="E56" s="4" t="s">
        <v>182</v>
      </c>
      <c r="F56" s="4">
        <v>428</v>
      </c>
      <c r="G56" s="5">
        <v>34683</v>
      </c>
      <c r="H56" s="5">
        <v>39570</v>
      </c>
    </row>
    <row r="57" spans="1:8" ht="45" x14ac:dyDescent="0.25">
      <c r="A57" s="4" t="s">
        <v>102</v>
      </c>
      <c r="B57" s="4" t="str">
        <f>"RM-4886"</f>
        <v>RM-4886</v>
      </c>
      <c r="C57" s="8" t="str">
        <f>HYPERLINK("https://www.fcc.gov/ecfs/search/filings?proceedings_name=RM-4886&amp;sort=date_disseminated,DESC")</f>
        <v>https://www.fcc.gov/ecfs/search/filings?proceedings_name=RM-4886&amp;sort=date_disseminated,DESC</v>
      </c>
      <c r="D57" s="8" t="str">
        <f>HYPERLINK("https://apps.fcc.gov/edocs_public/Query.do?docket=RM-4886")</f>
        <v>https://apps.fcc.gov/edocs_public/Query.do?docket=RM-4886</v>
      </c>
      <c r="E57" s="4" t="s">
        <v>246</v>
      </c>
      <c r="F57" s="4">
        <v>0</v>
      </c>
      <c r="G57" s="5">
        <v>33533</v>
      </c>
      <c r="H57" s="5">
        <v>33533</v>
      </c>
    </row>
    <row r="58" spans="1:8" ht="15" customHeight="1" x14ac:dyDescent="0.25">
      <c r="A58" s="4" t="s">
        <v>102</v>
      </c>
      <c r="B58" s="4" t="str">
        <f>"RM-5884"</f>
        <v>RM-5884</v>
      </c>
      <c r="C58" s="8" t="str">
        <f>HYPERLINK("https://www.fcc.gov/ecfs/search/filings?proceedings_name=RM-5884&amp;sort=date_disseminated,DESC")</f>
        <v>https://www.fcc.gov/ecfs/search/filings?proceedings_name=RM-5884&amp;sort=date_disseminated,DESC</v>
      </c>
      <c r="D58" s="8" t="str">
        <f>HYPERLINK("https://apps.fcc.gov/edocs_public/Query.do?docket=RM-5884")</f>
        <v>https://apps.fcc.gov/edocs_public/Query.do?docket=RM-5884</v>
      </c>
      <c r="E58" s="4" t="s">
        <v>205</v>
      </c>
      <c r="F58" s="4">
        <v>0</v>
      </c>
      <c r="G58" s="5">
        <v>33533</v>
      </c>
      <c r="H58" s="5">
        <v>33533</v>
      </c>
    </row>
    <row r="59" spans="1:8" x14ac:dyDescent="0.25">
      <c r="A59" s="4" t="s">
        <v>102</v>
      </c>
      <c r="B59" s="4" t="str">
        <f>"RM-6082"</f>
        <v>RM-6082</v>
      </c>
      <c r="C59" s="8" t="str">
        <f>HYPERLINK("https://www.fcc.gov/ecfs/search/filings?proceedings_name=RM-6082&amp;sort=date_disseminated,DESC")</f>
        <v>https://www.fcc.gov/ecfs/search/filings?proceedings_name=RM-6082&amp;sort=date_disseminated,DESC</v>
      </c>
      <c r="D59" s="8" t="str">
        <f>HYPERLINK("https://apps.fcc.gov/edocs_public/Query.do?docket=RM-6082")</f>
        <v>https://apps.fcc.gov/edocs_public/Query.do?docket=RM-6082</v>
      </c>
      <c r="E59" s="4" t="s">
        <v>205</v>
      </c>
      <c r="F59" s="4">
        <v>0</v>
      </c>
      <c r="G59" s="5">
        <v>33533</v>
      </c>
      <c r="H59" s="5">
        <v>33533</v>
      </c>
    </row>
    <row r="60" spans="1:8" x14ac:dyDescent="0.25">
      <c r="A60" s="4" t="s">
        <v>102</v>
      </c>
      <c r="B60" s="4" t="str">
        <f>"RM-6528"</f>
        <v>RM-6528</v>
      </c>
      <c r="C60" s="8" t="str">
        <f>HYPERLINK("https://www.fcc.gov/ecfs/search/filings?proceedings_name=RM-6528&amp;sort=date_disseminated,DESC")</f>
        <v>https://www.fcc.gov/ecfs/search/filings?proceedings_name=RM-6528&amp;sort=date_disseminated,DESC</v>
      </c>
      <c r="D60" s="8" t="str">
        <f>HYPERLINK("https://apps.fcc.gov/edocs_public/Query.do?docket=RM-6528")</f>
        <v>https://apps.fcc.gov/edocs_public/Query.do?docket=RM-6528</v>
      </c>
      <c r="E60" s="4" t="s">
        <v>205</v>
      </c>
      <c r="F60" s="4">
        <v>0</v>
      </c>
      <c r="G60" s="5">
        <v>33533</v>
      </c>
      <c r="H60" s="5">
        <v>33533</v>
      </c>
    </row>
    <row r="61" spans="1:8" x14ac:dyDescent="0.25">
      <c r="A61" s="4" t="s">
        <v>102</v>
      </c>
      <c r="B61" s="4" t="str">
        <f>"RM-7941"</f>
        <v>RM-7941</v>
      </c>
      <c r="C61" s="8" t="str">
        <f>HYPERLINK("https://www.fcc.gov/ecfs/search/filings?proceedings_name=RM-7941&amp;sort=date_disseminated,DESC")</f>
        <v>https://www.fcc.gov/ecfs/search/filings?proceedings_name=RM-7941&amp;sort=date_disseminated,DESC</v>
      </c>
      <c r="D61" s="8" t="str">
        <f>HYPERLINK("https://apps.fcc.gov/edocs_public/Query.do?docket=RM-7941")</f>
        <v>https://apps.fcc.gov/edocs_public/Query.do?docket=RM-7941</v>
      </c>
      <c r="E61" s="4" t="s">
        <v>201</v>
      </c>
      <c r="F61" s="4">
        <v>0</v>
      </c>
      <c r="G61" s="5">
        <v>33742</v>
      </c>
      <c r="H61" s="5">
        <v>33742</v>
      </c>
    </row>
    <row r="62" spans="1:8" ht="45" x14ac:dyDescent="0.25">
      <c r="A62" s="4" t="s">
        <v>1</v>
      </c>
      <c r="B62" s="4" t="str">
        <f>"03-159"</f>
        <v>03-159</v>
      </c>
      <c r="C62" s="8" t="str">
        <f>HYPERLINK("https://www.fcc.gov/ecfs/search/filings?proceedings_name=03-159&amp;sort=date_disseminated,DESC")</f>
        <v>https://www.fcc.gov/ecfs/search/filings?proceedings_name=03-159&amp;sort=date_disseminated,DESC</v>
      </c>
      <c r="D62" s="8" t="str">
        <f>HYPERLINK("https://apps.fcc.gov/edocs_public/Query.do?docket=03-159")</f>
        <v>https://apps.fcc.gov/edocs_public/Query.do?docket=03-159</v>
      </c>
      <c r="E62" s="4" t="s">
        <v>151</v>
      </c>
      <c r="F62" s="4">
        <v>34</v>
      </c>
      <c r="G62" s="5">
        <v>37810</v>
      </c>
      <c r="H62" s="5">
        <v>40122</v>
      </c>
    </row>
    <row r="63" spans="1:8" ht="15" customHeight="1" x14ac:dyDescent="0.25">
      <c r="A63" s="4" t="s">
        <v>1</v>
      </c>
      <c r="B63" s="4" t="str">
        <f>"04-319"</f>
        <v>04-319</v>
      </c>
      <c r="C63" s="8" t="str">
        <f>HYPERLINK("https://www.fcc.gov/ecfs/search/filings?proceedings_name=04-319&amp;sort=date_disseminated,DESC")</f>
        <v>https://www.fcc.gov/ecfs/search/filings?proceedings_name=04-319&amp;sort=date_disseminated,DESC</v>
      </c>
      <c r="D63" s="8" t="str">
        <f>HYPERLINK("https://apps.fcc.gov/edocs_public/Query.do?docket=04-319")</f>
        <v>https://apps.fcc.gov/edocs_public/Query.do?docket=04-319</v>
      </c>
      <c r="E63" s="4" t="s">
        <v>147</v>
      </c>
      <c r="F63" s="4">
        <v>22</v>
      </c>
      <c r="G63" s="5">
        <v>38210</v>
      </c>
      <c r="H63" s="5">
        <v>41866</v>
      </c>
    </row>
    <row r="64" spans="1:8" ht="60" x14ac:dyDescent="0.25">
      <c r="A64" s="4" t="s">
        <v>1</v>
      </c>
      <c r="B64" s="4" t="str">
        <f>"05-192"</f>
        <v>05-192</v>
      </c>
      <c r="C64" s="8" t="str">
        <f>HYPERLINK("https://www.fcc.gov/ecfs/search/filings?proceedings_name=05-192&amp;sort=date_disseminated,DESC")</f>
        <v>https://www.fcc.gov/ecfs/search/filings?proceedings_name=05-192&amp;sort=date_disseminated,DESC</v>
      </c>
      <c r="D64" s="8" t="str">
        <f>HYPERLINK("https://apps.fcc.gov/edocs_public/Query.do?docket=05-192")</f>
        <v>https://apps.fcc.gov/edocs_public/Query.do?docket=05-192</v>
      </c>
      <c r="E64" s="4" t="s">
        <v>247</v>
      </c>
      <c r="F64" s="4">
        <v>27106</v>
      </c>
      <c r="G64" s="5">
        <v>38490</v>
      </c>
      <c r="H64" s="5">
        <v>41703</v>
      </c>
    </row>
    <row r="65" spans="1:8" ht="30" x14ac:dyDescent="0.25">
      <c r="A65" s="4" t="s">
        <v>1</v>
      </c>
      <c r="B65" s="4" t="str">
        <f>"07-172"</f>
        <v>07-172</v>
      </c>
      <c r="C65" s="8" t="str">
        <f>HYPERLINK("https://www.fcc.gov/ecfs/search/filings?proceedings_name=07-172&amp;sort=date_disseminated,DESC")</f>
        <v>https://www.fcc.gov/ecfs/search/filings?proceedings_name=07-172&amp;sort=date_disseminated,DESC</v>
      </c>
      <c r="D65" s="8" t="str">
        <f>HYPERLINK("https://apps.fcc.gov/edocs_public/Query.do?docket=07-172")</f>
        <v>https://apps.fcc.gov/edocs_public/Query.do?docket=07-172</v>
      </c>
      <c r="E65" s="4" t="s">
        <v>248</v>
      </c>
      <c r="F65" s="4">
        <v>448</v>
      </c>
      <c r="G65" s="5">
        <v>39302</v>
      </c>
      <c r="H65" s="5">
        <v>41564</v>
      </c>
    </row>
    <row r="66" spans="1:8" ht="45" x14ac:dyDescent="0.25">
      <c r="A66" s="4" t="s">
        <v>1</v>
      </c>
      <c r="B66" s="4" t="str">
        <f>"07-18"</f>
        <v>07-18</v>
      </c>
      <c r="C66" s="8" t="str">
        <f>HYPERLINK("https://www.fcc.gov/ecfs/search/filings?proceedings_name=07-18&amp;sort=date_disseminated,DESC")</f>
        <v>https://www.fcc.gov/ecfs/search/filings?proceedings_name=07-18&amp;sort=date_disseminated,DESC</v>
      </c>
      <c r="D66" s="8" t="str">
        <f>HYPERLINK("https://apps.fcc.gov/edocs_public/Query.do?docket=07-18")</f>
        <v>https://apps.fcc.gov/edocs_public/Query.do?docket=07-18</v>
      </c>
      <c r="E66" s="4" t="s">
        <v>249</v>
      </c>
      <c r="F66" s="4">
        <v>447</v>
      </c>
      <c r="G66" s="5">
        <v>39114</v>
      </c>
      <c r="H66" s="5">
        <v>41703</v>
      </c>
    </row>
    <row r="67" spans="1:8" ht="30" x14ac:dyDescent="0.25">
      <c r="A67" s="4" t="s">
        <v>1</v>
      </c>
      <c r="B67" s="4" t="str">
        <f>"08-103"</f>
        <v>08-103</v>
      </c>
      <c r="C67" s="8" t="str">
        <f>HYPERLINK("https://www.fcc.gov/ecfs/search/filings?proceedings_name=08-103&amp;sort=date_disseminated,DESC")</f>
        <v>https://www.fcc.gov/ecfs/search/filings?proceedings_name=08-103&amp;sort=date_disseminated,DESC</v>
      </c>
      <c r="D67" s="8" t="str">
        <f>HYPERLINK("https://apps.fcc.gov/edocs_public/Query.do?docket=08-103")</f>
        <v>https://apps.fcc.gov/edocs_public/Query.do?docket=08-103</v>
      </c>
      <c r="E67" s="4" t="s">
        <v>145</v>
      </c>
      <c r="F67" s="4">
        <v>5</v>
      </c>
      <c r="G67" s="5">
        <v>39626</v>
      </c>
      <c r="H67" s="5">
        <v>40674</v>
      </c>
    </row>
    <row r="68" spans="1:8" x14ac:dyDescent="0.25">
      <c r="A68" s="4" t="s">
        <v>1</v>
      </c>
      <c r="B68" s="4" t="str">
        <f>"08-243"</f>
        <v>08-243</v>
      </c>
      <c r="C68" s="8" t="str">
        <f>HYPERLINK("https://www.fcc.gov/ecfs/search/filings?proceedings_name=08-243&amp;sort=date_disseminated,DESC")</f>
        <v>https://www.fcc.gov/ecfs/search/filings?proceedings_name=08-243&amp;sort=date_disseminated,DESC</v>
      </c>
      <c r="D68" s="8" t="str">
        <f>HYPERLINK("https://apps.fcc.gov/edocs_public/Query.do?docket=08-243")</f>
        <v>https://apps.fcc.gov/edocs_public/Query.do?docket=08-243</v>
      </c>
      <c r="E68" s="4" t="s">
        <v>250</v>
      </c>
      <c r="F68" s="4">
        <v>13</v>
      </c>
      <c r="G68" s="5">
        <v>39791</v>
      </c>
      <c r="H68" s="5">
        <v>41845</v>
      </c>
    </row>
    <row r="69" spans="1:8" ht="45" x14ac:dyDescent="0.25">
      <c r="A69" s="4" t="s">
        <v>1</v>
      </c>
      <c r="B69" s="4" t="str">
        <f>"08-253"</f>
        <v>08-253</v>
      </c>
      <c r="C69" s="8" t="str">
        <f>HYPERLINK("https://www.fcc.gov/ecfs/search/filings?proceedings_name=08-253&amp;sort=date_disseminated,DESC")</f>
        <v>https://www.fcc.gov/ecfs/search/filings?proceedings_name=08-253&amp;sort=date_disseminated,DESC</v>
      </c>
      <c r="D69" s="8" t="str">
        <f>HYPERLINK("https://apps.fcc.gov/edocs_public/Query.do?docket=08-253")</f>
        <v>https://apps.fcc.gov/edocs_public/Query.do?docket=08-253</v>
      </c>
      <c r="E69" s="4" t="s">
        <v>251</v>
      </c>
      <c r="F69" s="4">
        <v>37</v>
      </c>
      <c r="G69" s="5">
        <v>39805</v>
      </c>
      <c r="H69" s="5">
        <v>40122</v>
      </c>
    </row>
    <row r="70" spans="1:8" ht="15" customHeight="1" x14ac:dyDescent="0.25">
      <c r="A70" s="4" t="s">
        <v>1</v>
      </c>
      <c r="B70" s="4" t="str">
        <f>"08-26"</f>
        <v>08-26</v>
      </c>
      <c r="C70" s="8" t="str">
        <f>HYPERLINK("https://www.fcc.gov/ecfs/search/filings?proceedings_name=08-26&amp;sort=date_disseminated,DESC")</f>
        <v>https://www.fcc.gov/ecfs/search/filings?proceedings_name=08-26&amp;sort=date_disseminated,DESC</v>
      </c>
      <c r="D70" s="8" t="str">
        <f>HYPERLINK("https://apps.fcc.gov/edocs_public/Query.do?docket=08-26")</f>
        <v>https://apps.fcc.gov/edocs_public/Query.do?docket=08-26</v>
      </c>
      <c r="E70" s="4" t="s">
        <v>147</v>
      </c>
      <c r="F70" s="4">
        <v>8</v>
      </c>
      <c r="G70" s="5">
        <v>39500</v>
      </c>
      <c r="H70" s="5">
        <v>41470</v>
      </c>
    </row>
    <row r="71" spans="1:8" ht="30" x14ac:dyDescent="0.25">
      <c r="A71" s="4" t="s">
        <v>1</v>
      </c>
      <c r="B71" s="4" t="str">
        <f>"08-90"</f>
        <v>08-90</v>
      </c>
      <c r="C71" s="8" t="str">
        <f>HYPERLINK("https://www.fcc.gov/ecfs/search/filings?proceedings_name=08-90&amp;sort=date_disseminated,DESC")</f>
        <v>https://www.fcc.gov/ecfs/search/filings?proceedings_name=08-90&amp;sort=date_disseminated,DESC</v>
      </c>
      <c r="D71" s="8" t="str">
        <f>HYPERLINK("https://apps.fcc.gov/edocs_public/Query.do?docket=08-90")</f>
        <v>https://apps.fcc.gov/edocs_public/Query.do?docket=08-90</v>
      </c>
      <c r="E71" s="4" t="s">
        <v>252</v>
      </c>
      <c r="F71" s="4">
        <v>238</v>
      </c>
      <c r="G71" s="5">
        <v>39615</v>
      </c>
      <c r="H71" s="5">
        <v>41676</v>
      </c>
    </row>
    <row r="72" spans="1:8" ht="30" x14ac:dyDescent="0.25">
      <c r="A72" s="4" t="s">
        <v>1</v>
      </c>
      <c r="B72" s="4" t="str">
        <f>"09-115"</f>
        <v>09-115</v>
      </c>
      <c r="C72" s="8" t="str">
        <f>HYPERLINK("https://www.fcc.gov/ecfs/search/filings?proceedings_name=09-115&amp;sort=date_disseminated,DESC")</f>
        <v>https://www.fcc.gov/ecfs/search/filings?proceedings_name=09-115&amp;sort=date_disseminated,DESC</v>
      </c>
      <c r="D72" s="8" t="str">
        <f>HYPERLINK("https://apps.fcc.gov/edocs_public/Query.do?docket=09-115")</f>
        <v>https://apps.fcc.gov/edocs_public/Query.do?docket=09-115</v>
      </c>
      <c r="E72" s="4" t="s">
        <v>253</v>
      </c>
      <c r="F72" s="4">
        <v>22</v>
      </c>
      <c r="G72" s="5">
        <v>39994</v>
      </c>
      <c r="H72" s="5">
        <v>40802</v>
      </c>
    </row>
    <row r="73" spans="1:8" ht="30" x14ac:dyDescent="0.25">
      <c r="A73" s="4" t="s">
        <v>1</v>
      </c>
      <c r="B73" s="4" t="str">
        <f>"09-192"</f>
        <v>09-192</v>
      </c>
      <c r="C73" s="8" t="str">
        <f>HYPERLINK("https://www.fcc.gov/ecfs/search/filings?proceedings_name=09-192&amp;sort=date_disseminated,DESC")</f>
        <v>https://www.fcc.gov/ecfs/search/filings?proceedings_name=09-192&amp;sort=date_disseminated,DESC</v>
      </c>
      <c r="D73" s="8" t="str">
        <f>HYPERLINK("https://apps.fcc.gov/edocs_public/Query.do?docket=09-192")</f>
        <v>https://apps.fcc.gov/edocs_public/Query.do?docket=09-192</v>
      </c>
      <c r="E73" s="4" t="s">
        <v>254</v>
      </c>
      <c r="F73" s="4">
        <v>5</v>
      </c>
      <c r="G73" s="5">
        <v>40108</v>
      </c>
      <c r="H73" s="5">
        <v>40974</v>
      </c>
    </row>
    <row r="74" spans="1:8" x14ac:dyDescent="0.25">
      <c r="A74" s="4" t="s">
        <v>1</v>
      </c>
      <c r="B74" s="4" t="str">
        <f>"09-207"</f>
        <v>09-207</v>
      </c>
      <c r="C74" s="8" t="str">
        <f>HYPERLINK("https://www.fcc.gov/ecfs/search/filings?proceedings_name=09-207&amp;sort=date_disseminated,DESC")</f>
        <v>https://www.fcc.gov/ecfs/search/filings?proceedings_name=09-207&amp;sort=date_disseminated,DESC</v>
      </c>
      <c r="D74" s="8" t="str">
        <f>HYPERLINK("https://apps.fcc.gov/edocs_public/Query.do?docket=09-207")</f>
        <v>https://apps.fcc.gov/edocs_public/Query.do?docket=09-207</v>
      </c>
      <c r="E74" s="4" t="s">
        <v>250</v>
      </c>
      <c r="F74" s="4">
        <v>0</v>
      </c>
      <c r="G74" s="5">
        <v>40141</v>
      </c>
      <c r="H74" s="5">
        <v>40141</v>
      </c>
    </row>
    <row r="75" spans="1:8" ht="30" x14ac:dyDescent="0.25">
      <c r="A75" s="4" t="s">
        <v>1</v>
      </c>
      <c r="B75" s="4" t="str">
        <f>"10-104"</f>
        <v>10-104</v>
      </c>
      <c r="C75" s="8" t="str">
        <f>HYPERLINK("https://www.fcc.gov/ecfs/search/filings?proceedings_name=10-104&amp;sort=date_disseminated,DESC")</f>
        <v>https://www.fcc.gov/ecfs/search/filings?proceedings_name=10-104&amp;sort=date_disseminated,DESC</v>
      </c>
      <c r="D75" s="8" t="str">
        <f>HYPERLINK("https://apps.fcc.gov/edocs_public/Query.do?docket=10-104")</f>
        <v>https://apps.fcc.gov/edocs_public/Query.do?docket=10-104</v>
      </c>
      <c r="E75" s="4" t="s">
        <v>130</v>
      </c>
      <c r="F75" s="4">
        <v>76</v>
      </c>
      <c r="G75" s="5">
        <v>40311</v>
      </c>
      <c r="H75" s="5">
        <v>41886</v>
      </c>
    </row>
    <row r="76" spans="1:8" ht="30" x14ac:dyDescent="0.25">
      <c r="A76" s="4" t="s">
        <v>1</v>
      </c>
      <c r="B76" s="4" t="str">
        <f>"10-157"</f>
        <v>10-157</v>
      </c>
      <c r="C76" s="8" t="str">
        <f>HYPERLINK("https://www.fcc.gov/ecfs/search/filings?proceedings_name=10-157&amp;sort=date_disseminated,DESC")</f>
        <v>https://www.fcc.gov/ecfs/search/filings?proceedings_name=10-157&amp;sort=date_disseminated,DESC</v>
      </c>
      <c r="D76" s="8" t="str">
        <f>HYPERLINK("https://apps.fcc.gov/edocs_public/Query.do?docket=10-157")</f>
        <v>https://apps.fcc.gov/edocs_public/Query.do?docket=10-157</v>
      </c>
      <c r="E76" s="4" t="s">
        <v>255</v>
      </c>
      <c r="F76" s="4">
        <v>47</v>
      </c>
      <c r="G76" s="5">
        <v>40399</v>
      </c>
      <c r="H76" s="5">
        <v>41003</v>
      </c>
    </row>
    <row r="77" spans="1:8" ht="30" x14ac:dyDescent="0.25">
      <c r="A77" s="4" t="s">
        <v>1</v>
      </c>
      <c r="B77" s="4" t="str">
        <f>"11-139"</f>
        <v>11-139</v>
      </c>
      <c r="C77" s="8" t="str">
        <f>HYPERLINK("https://www.fcc.gov/ecfs/search/filings?proceedings_name=11-139&amp;sort=date_disseminated,DESC")</f>
        <v>https://www.fcc.gov/ecfs/search/filings?proceedings_name=11-139&amp;sort=date_disseminated,DESC</v>
      </c>
      <c r="D77" s="8" t="str">
        <f>HYPERLINK("https://apps.fcc.gov/edocs_public/Query.do?docket=11-139")</f>
        <v>https://apps.fcc.gov/edocs_public/Query.do?docket=11-139</v>
      </c>
      <c r="E77" s="4" t="s">
        <v>120</v>
      </c>
      <c r="F77" s="4">
        <v>7</v>
      </c>
      <c r="G77" s="5">
        <v>40771</v>
      </c>
      <c r="H77" s="5">
        <v>41367</v>
      </c>
    </row>
    <row r="78" spans="1:8" x14ac:dyDescent="0.25">
      <c r="A78" s="4" t="s">
        <v>1</v>
      </c>
      <c r="B78" s="4" t="str">
        <f>"11-147"</f>
        <v>11-147</v>
      </c>
      <c r="C78" s="8" t="str">
        <f>HYPERLINK("https://www.fcc.gov/ecfs/search/filings?proceedings_name=11-147&amp;sort=date_disseminated,DESC")</f>
        <v>https://www.fcc.gov/ecfs/search/filings?proceedings_name=11-147&amp;sort=date_disseminated,DESC</v>
      </c>
      <c r="D78" s="8" t="str">
        <f>HYPERLINK("https://apps.fcc.gov/edocs_public/Query.do?docket=11-147")</f>
        <v>https://apps.fcc.gov/edocs_public/Query.do?docket=11-147</v>
      </c>
      <c r="E78" s="4" t="s">
        <v>147</v>
      </c>
      <c r="F78" s="4">
        <v>4</v>
      </c>
      <c r="G78" s="5">
        <v>40795</v>
      </c>
      <c r="H78" s="5">
        <v>41340</v>
      </c>
    </row>
    <row r="79" spans="1:8" ht="30" x14ac:dyDescent="0.25">
      <c r="A79" s="4" t="s">
        <v>1</v>
      </c>
      <c r="B79" s="4" t="str">
        <f>"11-159"</f>
        <v>11-159</v>
      </c>
      <c r="C79" s="8" t="str">
        <f>HYPERLINK("https://www.fcc.gov/ecfs/search/filings?proceedings_name=11-159&amp;sort=date_disseminated,DESC")</f>
        <v>https://www.fcc.gov/ecfs/search/filings?proceedings_name=11-159&amp;sort=date_disseminated,DESC</v>
      </c>
      <c r="D79" s="8" t="str">
        <f>HYPERLINK("https://apps.fcc.gov/edocs_public/Query.do?docket=11-159")</f>
        <v>https://apps.fcc.gov/edocs_public/Query.do?docket=11-159</v>
      </c>
      <c r="E79" s="4" t="s">
        <v>118</v>
      </c>
      <c r="F79" s="4">
        <v>5</v>
      </c>
      <c r="G79" s="5">
        <v>40820</v>
      </c>
      <c r="H79" s="5">
        <v>41338</v>
      </c>
    </row>
    <row r="80" spans="1:8" x14ac:dyDescent="0.25">
      <c r="A80" s="4" t="s">
        <v>1</v>
      </c>
      <c r="B80" s="4" t="str">
        <f>"11-168"</f>
        <v>11-168</v>
      </c>
      <c r="C80" s="8" t="str">
        <f>HYPERLINK("https://www.fcc.gov/ecfs/search/filings?proceedings_name=11-168&amp;sort=date_disseminated,DESC")</f>
        <v>https://www.fcc.gov/ecfs/search/filings?proceedings_name=11-168&amp;sort=date_disseminated,DESC</v>
      </c>
      <c r="D80" s="8" t="str">
        <f>HYPERLINK("https://apps.fcc.gov/edocs_public/Query.do?docket=11-168")</f>
        <v>https://apps.fcc.gov/edocs_public/Query.do?docket=11-168</v>
      </c>
      <c r="E80" s="4" t="s">
        <v>250</v>
      </c>
      <c r="F80" s="4">
        <v>1</v>
      </c>
      <c r="G80" s="5">
        <v>40829</v>
      </c>
      <c r="H80" s="5">
        <v>40870</v>
      </c>
    </row>
    <row r="81" spans="1:8" ht="45" x14ac:dyDescent="0.25">
      <c r="A81" s="4" t="s">
        <v>1</v>
      </c>
      <c r="B81" s="4" t="str">
        <f>"11-207"</f>
        <v>11-207</v>
      </c>
      <c r="C81" s="8" t="str">
        <f>HYPERLINK("https://www.fcc.gov/ecfs/search/filings?proceedings_name=11-207&amp;sort=date_disseminated,DESC")</f>
        <v>https://www.fcc.gov/ecfs/search/filings?proceedings_name=11-207&amp;sort=date_disseminated,DESC</v>
      </c>
      <c r="D81" s="8" t="str">
        <f>HYPERLINK("https://apps.fcc.gov/edocs_public/Query.do?docket=11-207")</f>
        <v>https://apps.fcc.gov/edocs_public/Query.do?docket=11-207</v>
      </c>
      <c r="E81" s="4" t="s">
        <v>116</v>
      </c>
      <c r="F81" s="4">
        <v>10</v>
      </c>
      <c r="G81" s="5">
        <v>40899</v>
      </c>
      <c r="H81" s="5">
        <v>41614</v>
      </c>
    </row>
    <row r="82" spans="1:8" ht="30" x14ac:dyDescent="0.25">
      <c r="A82" s="4" t="s">
        <v>1</v>
      </c>
      <c r="B82" s="4" t="str">
        <f>"11-38"</f>
        <v>11-38</v>
      </c>
      <c r="C82" s="8" t="str">
        <f>HYPERLINK("https://www.fcc.gov/ecfs/search/filings?proceedings_name=11-38&amp;sort=date_disseminated,DESC")</f>
        <v>https://www.fcc.gov/ecfs/search/filings?proceedings_name=11-38&amp;sort=date_disseminated,DESC</v>
      </c>
      <c r="D82" s="8" t="str">
        <f>HYPERLINK("https://apps.fcc.gov/edocs_public/Query.do?docket=11-38")</f>
        <v>https://apps.fcc.gov/edocs_public/Query.do?docket=11-38</v>
      </c>
      <c r="E82" s="4" t="s">
        <v>256</v>
      </c>
      <c r="F82" s="4">
        <v>2</v>
      </c>
      <c r="G82" s="5">
        <v>40599</v>
      </c>
      <c r="H82" s="5">
        <v>41309</v>
      </c>
    </row>
    <row r="83" spans="1:8" ht="30" x14ac:dyDescent="0.25">
      <c r="A83" s="4" t="s">
        <v>1</v>
      </c>
      <c r="B83" s="4" t="str">
        <f>"11-54"</f>
        <v>11-54</v>
      </c>
      <c r="C83" s="8" t="str">
        <f>HYPERLINK("https://www.fcc.gov/ecfs/search/filings?proceedings_name=11-54&amp;sort=date_disseminated,DESC")</f>
        <v>https://www.fcc.gov/ecfs/search/filings?proceedings_name=11-54&amp;sort=date_disseminated,DESC</v>
      </c>
      <c r="D83" s="8" t="str">
        <f>HYPERLINK("https://apps.fcc.gov/edocs_public/Query.do?docket=11-54")</f>
        <v>https://apps.fcc.gov/edocs_public/Query.do?docket=11-54</v>
      </c>
      <c r="E83" s="4" t="s">
        <v>126</v>
      </c>
      <c r="F83" s="4">
        <v>5</v>
      </c>
      <c r="G83" s="5">
        <v>40620</v>
      </c>
      <c r="H83" s="5">
        <v>41340</v>
      </c>
    </row>
    <row r="84" spans="1:8" ht="45" x14ac:dyDescent="0.25">
      <c r="A84" s="4" t="s">
        <v>1</v>
      </c>
      <c r="B84" s="4" t="str">
        <f>"11-66"</f>
        <v>11-66</v>
      </c>
      <c r="C84" s="8" t="str">
        <f>HYPERLINK("https://www.fcc.gov/ecfs/search/filings?proceedings_name=11-66&amp;sort=date_disseminated,DESC")</f>
        <v>https://www.fcc.gov/ecfs/search/filings?proceedings_name=11-66&amp;sort=date_disseminated,DESC</v>
      </c>
      <c r="D84" s="8" t="str">
        <f>HYPERLINK("https://apps.fcc.gov/edocs_public/Query.do?docket=11-66")</f>
        <v>https://apps.fcc.gov/edocs_public/Query.do?docket=11-66</v>
      </c>
      <c r="E84" s="4" t="s">
        <v>257</v>
      </c>
      <c r="F84" s="4">
        <v>8</v>
      </c>
      <c r="G84" s="5">
        <v>40647</v>
      </c>
      <c r="H84" s="5">
        <v>40840</v>
      </c>
    </row>
    <row r="85" spans="1:8" ht="45" x14ac:dyDescent="0.25">
      <c r="A85" s="4" t="s">
        <v>1</v>
      </c>
      <c r="B85" s="4" t="str">
        <f>"12-115"</f>
        <v>12-115</v>
      </c>
      <c r="C85" s="8" t="str">
        <f>HYPERLINK("https://www.fcc.gov/ecfs/search/filings?proceedings_name=12-115&amp;sort=date_disseminated,DESC")</f>
        <v>https://www.fcc.gov/ecfs/search/filings?proceedings_name=12-115&amp;sort=date_disseminated,DESC</v>
      </c>
      <c r="D85" s="8" t="str">
        <f>HYPERLINK("https://apps.fcc.gov/edocs_public/Query.do?docket=12-115")</f>
        <v>https://apps.fcc.gov/edocs_public/Query.do?docket=12-115</v>
      </c>
      <c r="E85" s="4" t="s">
        <v>101</v>
      </c>
      <c r="F85" s="4">
        <v>1</v>
      </c>
      <c r="G85" s="5">
        <v>41025</v>
      </c>
      <c r="H85" s="5">
        <v>41123</v>
      </c>
    </row>
    <row r="86" spans="1:8" x14ac:dyDescent="0.25">
      <c r="A86" s="4" t="s">
        <v>1</v>
      </c>
      <c r="B86" s="4" t="str">
        <f>"12-123"</f>
        <v>12-123</v>
      </c>
      <c r="C86" s="8" t="str">
        <f>HYPERLINK("https://www.fcc.gov/ecfs/search/filings?proceedings_name=12-123&amp;sort=date_disseminated,DESC")</f>
        <v>https://www.fcc.gov/ecfs/search/filings?proceedings_name=12-123&amp;sort=date_disseminated,DESC</v>
      </c>
      <c r="D86" s="8" t="str">
        <f>HYPERLINK("https://apps.fcc.gov/edocs_public/Query.do?docket=12-123")</f>
        <v>https://apps.fcc.gov/edocs_public/Query.do?docket=12-123</v>
      </c>
      <c r="E86" s="4" t="s">
        <v>100</v>
      </c>
      <c r="F86" s="4">
        <v>2</v>
      </c>
      <c r="G86" s="5">
        <v>41043</v>
      </c>
      <c r="H86" s="5">
        <v>41072</v>
      </c>
    </row>
    <row r="87" spans="1:8" ht="45" x14ac:dyDescent="0.25">
      <c r="A87" s="4" t="s">
        <v>1</v>
      </c>
      <c r="B87" s="4" t="str">
        <f>"12-130"</f>
        <v>12-130</v>
      </c>
      <c r="C87" s="8" t="str">
        <f>HYPERLINK("https://www.fcc.gov/ecfs/search/filings?proceedings_name=12-130&amp;sort=date_disseminated,DESC")</f>
        <v>https://www.fcc.gov/ecfs/search/filings?proceedings_name=12-130&amp;sort=date_disseminated,DESC</v>
      </c>
      <c r="D87" s="8" t="str">
        <f>HYPERLINK("https://apps.fcc.gov/edocs_public/Query.do?docket=12-130")</f>
        <v>https://apps.fcc.gov/edocs_public/Query.do?docket=12-130</v>
      </c>
      <c r="E87" s="4" t="s">
        <v>99</v>
      </c>
      <c r="F87" s="4">
        <v>3</v>
      </c>
      <c r="G87" s="5">
        <v>41052</v>
      </c>
      <c r="H87" s="5">
        <v>41170</v>
      </c>
    </row>
    <row r="88" spans="1:8" ht="30" x14ac:dyDescent="0.25">
      <c r="A88" s="4" t="s">
        <v>1</v>
      </c>
      <c r="B88" s="4" t="str">
        <f>"12-139"</f>
        <v>12-139</v>
      </c>
      <c r="C88" s="8" t="str">
        <f>HYPERLINK("https://www.fcc.gov/ecfs/search/filings?proceedings_name=12-139&amp;sort=date_disseminated,DESC")</f>
        <v>https://www.fcc.gov/ecfs/search/filings?proceedings_name=12-139&amp;sort=date_disseminated,DESC</v>
      </c>
      <c r="D88" s="8" t="str">
        <f>HYPERLINK("https://apps.fcc.gov/edocs_public/Query.do?docket=12-139")</f>
        <v>https://apps.fcc.gov/edocs_public/Query.do?docket=12-139</v>
      </c>
      <c r="E88" s="4" t="s">
        <v>97</v>
      </c>
      <c r="F88" s="4">
        <v>3</v>
      </c>
      <c r="G88" s="5">
        <v>41060</v>
      </c>
      <c r="H88" s="5">
        <v>41393</v>
      </c>
    </row>
    <row r="89" spans="1:8" ht="30" x14ac:dyDescent="0.25">
      <c r="A89" s="4" t="s">
        <v>1</v>
      </c>
      <c r="B89" s="4" t="str">
        <f>"12-153"</f>
        <v>12-153</v>
      </c>
      <c r="C89" s="8" t="str">
        <f>HYPERLINK("https://www.fcc.gov/ecfs/search/filings?proceedings_name=12-153&amp;sort=date_disseminated,DESC")</f>
        <v>https://www.fcc.gov/ecfs/search/filings?proceedings_name=12-153&amp;sort=date_disseminated,DESC</v>
      </c>
      <c r="D89" s="8" t="str">
        <f>HYPERLINK("https://apps.fcc.gov/edocs_public/Query.do?docket=12-153")</f>
        <v>https://apps.fcc.gov/edocs_public/Query.do?docket=12-153</v>
      </c>
      <c r="E89" s="4" t="s">
        <v>96</v>
      </c>
      <c r="F89" s="4">
        <v>4</v>
      </c>
      <c r="G89" s="5">
        <v>41068</v>
      </c>
      <c r="H89" s="5">
        <v>41515</v>
      </c>
    </row>
    <row r="90" spans="1:8" ht="15" customHeight="1" x14ac:dyDescent="0.25">
      <c r="A90" s="4" t="s">
        <v>1</v>
      </c>
      <c r="B90" s="4" t="str">
        <f>"12-16"</f>
        <v>12-16</v>
      </c>
      <c r="C90" s="8" t="str">
        <f>HYPERLINK("https://www.fcc.gov/ecfs/search/filings?proceedings_name=12-16&amp;sort=date_disseminated,DESC")</f>
        <v>https://www.fcc.gov/ecfs/search/filings?proceedings_name=12-16&amp;sort=date_disseminated,DESC</v>
      </c>
      <c r="D90" s="8" t="str">
        <f>HYPERLINK("https://apps.fcc.gov/edocs_public/Query.do?docket=12-16")</f>
        <v>https://apps.fcc.gov/edocs_public/Query.do?docket=12-16</v>
      </c>
      <c r="E90" s="4" t="s">
        <v>114</v>
      </c>
      <c r="F90" s="4">
        <v>6</v>
      </c>
      <c r="G90" s="5">
        <v>40932</v>
      </c>
      <c r="H90" s="5">
        <v>41023</v>
      </c>
    </row>
    <row r="91" spans="1:8" ht="30" x14ac:dyDescent="0.25">
      <c r="A91" s="4" t="s">
        <v>1</v>
      </c>
      <c r="B91" s="4" t="str">
        <f>"12-167"</f>
        <v>12-167</v>
      </c>
      <c r="C91" s="8" t="str">
        <f>HYPERLINK("https://www.fcc.gov/ecfs/search/filings?proceedings_name=12-167&amp;sort=date_disseminated,DESC")</f>
        <v>https://www.fcc.gov/ecfs/search/filings?proceedings_name=12-167&amp;sort=date_disseminated,DESC</v>
      </c>
      <c r="D91" s="8" t="str">
        <f>HYPERLINK("https://apps.fcc.gov/edocs_public/Query.do?docket=12-167")</f>
        <v>https://apps.fcc.gov/edocs_public/Query.do?docket=12-167</v>
      </c>
      <c r="E91" s="4" t="s">
        <v>93</v>
      </c>
      <c r="F91" s="4">
        <v>19</v>
      </c>
      <c r="G91" s="5">
        <v>41082</v>
      </c>
      <c r="H91" s="5">
        <v>41390</v>
      </c>
    </row>
    <row r="92" spans="1:8" ht="30" x14ac:dyDescent="0.25">
      <c r="A92" s="4" t="s">
        <v>1</v>
      </c>
      <c r="B92" s="4" t="str">
        <f>"12-177"</f>
        <v>12-177</v>
      </c>
      <c r="C92" s="8" t="str">
        <f>HYPERLINK("https://www.fcc.gov/ecfs/search/filings?proceedings_name=12-177&amp;sort=date_disseminated,DESC")</f>
        <v>https://www.fcc.gov/ecfs/search/filings?proceedings_name=12-177&amp;sort=date_disseminated,DESC</v>
      </c>
      <c r="D92" s="8" t="str">
        <f>HYPERLINK("https://apps.fcc.gov/edocs_public/Query.do?docket=12-177")</f>
        <v>https://apps.fcc.gov/edocs_public/Query.do?docket=12-177</v>
      </c>
      <c r="E92" s="4" t="s">
        <v>92</v>
      </c>
      <c r="F92" s="4">
        <v>1</v>
      </c>
      <c r="G92" s="5">
        <v>41087</v>
      </c>
      <c r="H92" s="5">
        <v>41207</v>
      </c>
    </row>
    <row r="93" spans="1:8" ht="15" customHeight="1" x14ac:dyDescent="0.25">
      <c r="A93" s="4" t="s">
        <v>1</v>
      </c>
      <c r="B93" s="4" t="str">
        <f>"12-197"</f>
        <v>12-197</v>
      </c>
      <c r="C93" s="8" t="str">
        <f>HYPERLINK("https://www.fcc.gov/ecfs/search/filings?proceedings_name=12-197&amp;sort=date_disseminated,DESC")</f>
        <v>https://www.fcc.gov/ecfs/search/filings?proceedings_name=12-197&amp;sort=date_disseminated,DESC</v>
      </c>
      <c r="D93" s="8" t="str">
        <f>HYPERLINK("https://apps.fcc.gov/edocs_public/Query.do?docket=12-197")</f>
        <v>https://apps.fcc.gov/edocs_public/Query.do?docket=12-197</v>
      </c>
      <c r="E93" s="4" t="s">
        <v>91</v>
      </c>
      <c r="F93" s="4">
        <v>23</v>
      </c>
      <c r="G93" s="5">
        <v>41103</v>
      </c>
      <c r="H93" s="5">
        <v>41305</v>
      </c>
    </row>
    <row r="94" spans="1:8" ht="15" customHeight="1" x14ac:dyDescent="0.25">
      <c r="A94" s="4" t="s">
        <v>1</v>
      </c>
      <c r="B94" s="4" t="str">
        <f>"12-208"</f>
        <v>12-208</v>
      </c>
      <c r="C94" s="8" t="str">
        <f>HYPERLINK("https://www.fcc.gov/ecfs/search/filings?proceedings_name=12-208&amp;sort=date_disseminated,DESC")</f>
        <v>https://www.fcc.gov/ecfs/search/filings?proceedings_name=12-208&amp;sort=date_disseminated,DESC</v>
      </c>
      <c r="D94" s="8" t="str">
        <f>HYPERLINK("https://apps.fcc.gov/edocs_public/Query.do?docket=12-208")</f>
        <v>https://apps.fcc.gov/edocs_public/Query.do?docket=12-208</v>
      </c>
      <c r="E94" s="4" t="s">
        <v>88</v>
      </c>
      <c r="F94" s="4">
        <v>40</v>
      </c>
      <c r="G94" s="5">
        <v>41116</v>
      </c>
      <c r="H94" s="5">
        <v>41858</v>
      </c>
    </row>
    <row r="95" spans="1:8" x14ac:dyDescent="0.25">
      <c r="A95" s="4" t="s">
        <v>1</v>
      </c>
      <c r="B95" s="4" t="str">
        <f>"12-225"</f>
        <v>12-225</v>
      </c>
      <c r="C95" s="8" t="str">
        <f>HYPERLINK("https://www.fcc.gov/ecfs/search/filings?proceedings_name=12-225&amp;sort=date_disseminated,DESC")</f>
        <v>https://www.fcc.gov/ecfs/search/filings?proceedings_name=12-225&amp;sort=date_disseminated,DESC</v>
      </c>
      <c r="D95" s="8" t="str">
        <f>HYPERLINK("https://apps.fcc.gov/edocs_public/Query.do?docket=12-225")</f>
        <v>https://apps.fcc.gov/edocs_public/Query.do?docket=12-225</v>
      </c>
      <c r="E95" s="4" t="s">
        <v>87</v>
      </c>
      <c r="F95" s="4">
        <v>5</v>
      </c>
      <c r="G95" s="5">
        <v>41130</v>
      </c>
      <c r="H95" s="5">
        <v>41309</v>
      </c>
    </row>
    <row r="96" spans="1:8" x14ac:dyDescent="0.25">
      <c r="A96" s="4" t="s">
        <v>1</v>
      </c>
      <c r="B96" s="4" t="str">
        <f>"12-235"</f>
        <v>12-235</v>
      </c>
      <c r="C96" s="8" t="str">
        <f>HYPERLINK("https://www.fcc.gov/ecfs/search/filings?proceedings_name=12-235&amp;sort=date_disseminated,DESC")</f>
        <v>https://www.fcc.gov/ecfs/search/filings?proceedings_name=12-235&amp;sort=date_disseminated,DESC</v>
      </c>
      <c r="D96" s="8" t="str">
        <f>HYPERLINK("https://apps.fcc.gov/edocs_public/Query.do?docket=12-235")</f>
        <v>https://apps.fcc.gov/edocs_public/Query.do?docket=12-235</v>
      </c>
      <c r="E96" s="4" t="s">
        <v>84</v>
      </c>
      <c r="F96" s="4">
        <v>3</v>
      </c>
      <c r="G96" s="5">
        <v>41144</v>
      </c>
      <c r="H96" s="5">
        <v>41488</v>
      </c>
    </row>
    <row r="97" spans="1:8" ht="15" customHeight="1" x14ac:dyDescent="0.25">
      <c r="A97" s="4" t="s">
        <v>1</v>
      </c>
      <c r="B97" s="4" t="str">
        <f>"12-236"</f>
        <v>12-236</v>
      </c>
      <c r="C97" s="8" t="str">
        <f>HYPERLINK("https://www.fcc.gov/ecfs/search/filings?proceedings_name=12-236&amp;sort=date_disseminated,DESC")</f>
        <v>https://www.fcc.gov/ecfs/search/filings?proceedings_name=12-236&amp;sort=date_disseminated,DESC</v>
      </c>
      <c r="D97" s="8" t="str">
        <f>HYPERLINK("https://apps.fcc.gov/edocs_public/Query.do?docket=12-236")</f>
        <v>https://apps.fcc.gov/edocs_public/Query.do?docket=12-236</v>
      </c>
      <c r="E97" s="4" t="s">
        <v>83</v>
      </c>
      <c r="F97" s="4">
        <v>4</v>
      </c>
      <c r="G97" s="5">
        <v>41144</v>
      </c>
      <c r="H97" s="5">
        <v>41460</v>
      </c>
    </row>
    <row r="98" spans="1:8" x14ac:dyDescent="0.25">
      <c r="A98" s="4" t="s">
        <v>1</v>
      </c>
      <c r="B98" s="4" t="str">
        <f>"12-237"</f>
        <v>12-237</v>
      </c>
      <c r="C98" s="8" t="str">
        <f>HYPERLINK("https://www.fcc.gov/ecfs/search/filings?proceedings_name=12-237&amp;sort=date_disseminated,DESC")</f>
        <v>https://www.fcc.gov/ecfs/search/filings?proceedings_name=12-237&amp;sort=date_disseminated,DESC</v>
      </c>
      <c r="D98" s="8" t="str">
        <f>HYPERLINK("https://apps.fcc.gov/edocs_public/Query.do?docket=12-237")</f>
        <v>https://apps.fcc.gov/edocs_public/Query.do?docket=12-237</v>
      </c>
      <c r="E98" s="4" t="s">
        <v>81</v>
      </c>
      <c r="F98" s="4">
        <v>3</v>
      </c>
      <c r="G98" s="5">
        <v>41148</v>
      </c>
      <c r="H98" s="5">
        <v>41303</v>
      </c>
    </row>
    <row r="99" spans="1:8" x14ac:dyDescent="0.25">
      <c r="A99" s="4" t="s">
        <v>1</v>
      </c>
      <c r="B99" s="4" t="str">
        <f>"12-261"</f>
        <v>12-261</v>
      </c>
      <c r="C99" s="8" t="str">
        <f>HYPERLINK("https://www.fcc.gov/ecfs/search/filings?proceedings_name=12-261&amp;sort=date_disseminated,DESC")</f>
        <v>https://www.fcc.gov/ecfs/search/filings?proceedings_name=12-261&amp;sort=date_disseminated,DESC</v>
      </c>
      <c r="D99" s="8" t="str">
        <f>HYPERLINK("https://apps.fcc.gov/edocs_public/Query.do?docket=12-261")</f>
        <v>https://apps.fcc.gov/edocs_public/Query.do?docket=12-261</v>
      </c>
      <c r="E99" s="4" t="s">
        <v>78</v>
      </c>
      <c r="F99" s="4">
        <v>3</v>
      </c>
      <c r="G99" s="5">
        <v>41170</v>
      </c>
      <c r="H99" s="5">
        <v>41367</v>
      </c>
    </row>
    <row r="100" spans="1:8" ht="15" customHeight="1" x14ac:dyDescent="0.25">
      <c r="A100" s="4" t="s">
        <v>1</v>
      </c>
      <c r="B100" s="4" t="str">
        <f>"12-270"</f>
        <v>12-270</v>
      </c>
      <c r="C100" s="8" t="str">
        <f>HYPERLINK("https://www.fcc.gov/ecfs/search/filings?proceedings_name=12-270&amp;sort=date_disseminated,DESC")</f>
        <v>https://www.fcc.gov/ecfs/search/filings?proceedings_name=12-270&amp;sort=date_disseminated,DESC</v>
      </c>
      <c r="D100" s="8" t="str">
        <f>HYPERLINK("https://apps.fcc.gov/edocs_public/Query.do?docket=12-270")</f>
        <v>https://apps.fcc.gov/edocs_public/Query.do?docket=12-270</v>
      </c>
      <c r="E100" s="4" t="s">
        <v>76</v>
      </c>
      <c r="F100" s="4">
        <v>3</v>
      </c>
      <c r="G100" s="5">
        <v>41179</v>
      </c>
      <c r="H100" s="5">
        <v>41304</v>
      </c>
    </row>
    <row r="101" spans="1:8" x14ac:dyDescent="0.25">
      <c r="A101" s="4" t="s">
        <v>1</v>
      </c>
      <c r="B101" s="4" t="str">
        <f>"12-305"</f>
        <v>12-305</v>
      </c>
      <c r="C101" s="8" t="str">
        <f>HYPERLINK("https://www.fcc.gov/ecfs/search/filings?proceedings_name=12-305&amp;sort=date_disseminated,DESC")</f>
        <v>https://www.fcc.gov/ecfs/search/filings?proceedings_name=12-305&amp;sort=date_disseminated,DESC</v>
      </c>
      <c r="D101" s="8" t="str">
        <f>HYPERLINK("https://apps.fcc.gov/edocs_public/Query.do?docket=12-305")</f>
        <v>https://apps.fcc.gov/edocs_public/Query.do?docket=12-305</v>
      </c>
      <c r="E101" s="4" t="s">
        <v>75</v>
      </c>
      <c r="F101" s="4">
        <v>12</v>
      </c>
      <c r="G101" s="5">
        <v>41200</v>
      </c>
      <c r="H101" s="5">
        <v>41358</v>
      </c>
    </row>
    <row r="102" spans="1:8" x14ac:dyDescent="0.25">
      <c r="A102" s="4" t="s">
        <v>1</v>
      </c>
      <c r="B102" s="4" t="str">
        <f>"12-352"</f>
        <v>12-352</v>
      </c>
      <c r="C102" s="8" t="str">
        <f>HYPERLINK("https://www.fcc.gov/ecfs/search/filings?proceedings_name=12-352&amp;sort=date_disseminated,DESC")</f>
        <v>https://www.fcc.gov/ecfs/search/filings?proceedings_name=12-352&amp;sort=date_disseminated,DESC</v>
      </c>
      <c r="D102" s="8" t="str">
        <f>HYPERLINK("https://apps.fcc.gov/edocs_public/Query.do?docket=12-352")</f>
        <v>https://apps.fcc.gov/edocs_public/Query.do?docket=12-352</v>
      </c>
      <c r="E102" s="4" t="s">
        <v>73</v>
      </c>
      <c r="F102" s="4">
        <v>3</v>
      </c>
      <c r="G102" s="5">
        <v>41254</v>
      </c>
      <c r="H102" s="5">
        <v>41446</v>
      </c>
    </row>
    <row r="103" spans="1:8" ht="30" x14ac:dyDescent="0.25">
      <c r="A103" s="4" t="s">
        <v>1</v>
      </c>
      <c r="B103" s="4" t="str">
        <f>"12-364"</f>
        <v>12-364</v>
      </c>
      <c r="C103" s="8" t="str">
        <f>HYPERLINK("https://www.fcc.gov/ecfs/search/filings?proceedings_name=12-364&amp;sort=date_disseminated,DESC")</f>
        <v>https://www.fcc.gov/ecfs/search/filings?proceedings_name=12-364&amp;sort=date_disseminated,DESC</v>
      </c>
      <c r="D103" s="8" t="str">
        <f>HYPERLINK("https://apps.fcc.gov/edocs_public/Query.do?docket=12-364")</f>
        <v>https://apps.fcc.gov/edocs_public/Query.do?docket=12-364</v>
      </c>
      <c r="E103" s="4" t="s">
        <v>72</v>
      </c>
      <c r="F103" s="4">
        <v>30</v>
      </c>
      <c r="G103" s="5">
        <v>41257</v>
      </c>
      <c r="H103" s="5">
        <v>41751</v>
      </c>
    </row>
    <row r="104" spans="1:8" ht="45" x14ac:dyDescent="0.25">
      <c r="A104" s="4" t="s">
        <v>1</v>
      </c>
      <c r="B104" s="4" t="str">
        <f>"12-53"</f>
        <v>12-53</v>
      </c>
      <c r="C104" s="8" t="str">
        <f>HYPERLINK("https://www.fcc.gov/ecfs/search/filings?proceedings_name=12-53&amp;sort=date_disseminated,DESC")</f>
        <v>https://www.fcc.gov/ecfs/search/filings?proceedings_name=12-53&amp;sort=date_disseminated,DESC</v>
      </c>
      <c r="D104" s="8" t="str">
        <f>HYPERLINK("https://apps.fcc.gov/edocs_public/Query.do?docket=12-53")</f>
        <v>https://apps.fcc.gov/edocs_public/Query.do?docket=12-53</v>
      </c>
      <c r="E104" s="4" t="s">
        <v>110</v>
      </c>
      <c r="F104" s="4">
        <v>3</v>
      </c>
      <c r="G104" s="5">
        <v>40970</v>
      </c>
      <c r="H104" s="5">
        <v>41645</v>
      </c>
    </row>
    <row r="105" spans="1:8" x14ac:dyDescent="0.25">
      <c r="A105" s="4" t="s">
        <v>1</v>
      </c>
      <c r="B105" s="4" t="str">
        <f>"12-8"</f>
        <v>12-8</v>
      </c>
      <c r="C105" s="8" t="str">
        <f>HYPERLINK("https://www.fcc.gov/ecfs/search/filings?proceedings_name=12-8&amp;sort=date_disseminated,DESC")</f>
        <v>https://www.fcc.gov/ecfs/search/filings?proceedings_name=12-8&amp;sort=date_disseminated,DESC</v>
      </c>
      <c r="D105" s="8" t="str">
        <f>HYPERLINK("https://apps.fcc.gov/edocs_public/Query.do?docket=12-8")</f>
        <v>https://apps.fcc.gov/edocs_public/Query.do?docket=12-8</v>
      </c>
      <c r="E105" s="4" t="s">
        <v>115</v>
      </c>
      <c r="F105" s="4">
        <v>7</v>
      </c>
      <c r="G105" s="5">
        <v>40932</v>
      </c>
      <c r="H105" s="5">
        <v>41103</v>
      </c>
    </row>
    <row r="106" spans="1:8" x14ac:dyDescent="0.25">
      <c r="A106" s="4" t="s">
        <v>1</v>
      </c>
      <c r="B106" s="4" t="str">
        <f>"12-87"</f>
        <v>12-87</v>
      </c>
      <c r="C106" s="8" t="str">
        <f>HYPERLINK("https://www.fcc.gov/ecfs/search/filings?proceedings_name=12-87&amp;sort=date_disseminated,DESC")</f>
        <v>https://www.fcc.gov/ecfs/search/filings?proceedings_name=12-87&amp;sort=date_disseminated,DESC</v>
      </c>
      <c r="D106" s="8" t="str">
        <f>HYPERLINK("https://apps.fcc.gov/edocs_public/Query.do?docket=12-87")</f>
        <v>https://apps.fcc.gov/edocs_public/Query.do?docket=12-87</v>
      </c>
      <c r="E106" s="4" t="s">
        <v>106</v>
      </c>
      <c r="F106" s="4">
        <v>8</v>
      </c>
      <c r="G106" s="5">
        <v>41001</v>
      </c>
      <c r="H106" s="5">
        <v>41312</v>
      </c>
    </row>
    <row r="107" spans="1:8" ht="30" x14ac:dyDescent="0.25">
      <c r="A107" s="4" t="s">
        <v>1</v>
      </c>
      <c r="B107" s="4" t="str">
        <f>"12-92"</f>
        <v>12-92</v>
      </c>
      <c r="C107" s="8" t="str">
        <f>HYPERLINK("https://www.fcc.gov/ecfs/search/filings?proceedings_name=12-92&amp;sort=date_disseminated,DESC")</f>
        <v>https://www.fcc.gov/ecfs/search/filings?proceedings_name=12-92&amp;sort=date_disseminated,DESC</v>
      </c>
      <c r="D107" s="8" t="str">
        <f>HYPERLINK("https://apps.fcc.gov/edocs_public/Query.do?docket=12-92")</f>
        <v>https://apps.fcc.gov/edocs_public/Query.do?docket=12-92</v>
      </c>
      <c r="E107" s="4" t="s">
        <v>105</v>
      </c>
      <c r="F107" s="4">
        <v>8</v>
      </c>
      <c r="G107" s="5">
        <v>41002</v>
      </c>
      <c r="H107" s="5">
        <v>41471</v>
      </c>
    </row>
    <row r="108" spans="1:8" ht="15" customHeight="1" x14ac:dyDescent="0.25">
      <c r="A108" s="4" t="s">
        <v>1</v>
      </c>
      <c r="B108" s="4" t="str">
        <f>"13-102"</f>
        <v>13-102</v>
      </c>
      <c r="C108" s="8" t="str">
        <f>HYPERLINK("https://www.fcc.gov/ecfs/search/filings?proceedings_name=13-102&amp;sort=date_disseminated,DESC")</f>
        <v>https://www.fcc.gov/ecfs/search/filings?proceedings_name=13-102&amp;sort=date_disseminated,DESC</v>
      </c>
      <c r="D108" s="8" t="str">
        <f>HYPERLINK("https://apps.fcc.gov/edocs_public/Query.do?docket=13-102")</f>
        <v>https://apps.fcc.gov/edocs_public/Query.do?docket=13-102</v>
      </c>
      <c r="E108" s="4" t="s">
        <v>51</v>
      </c>
      <c r="F108" s="4">
        <v>4</v>
      </c>
      <c r="G108" s="5">
        <v>41388</v>
      </c>
      <c r="H108" s="5">
        <v>41761</v>
      </c>
    </row>
    <row r="109" spans="1:8" ht="30" x14ac:dyDescent="0.25">
      <c r="A109" s="4" t="s">
        <v>1</v>
      </c>
      <c r="B109" s="4" t="str">
        <f>"13-107"</f>
        <v>13-107</v>
      </c>
      <c r="C109" s="8" t="str">
        <f>HYPERLINK("https://www.fcc.gov/ecfs/search/filings?proceedings_name=13-107&amp;sort=date_disseminated,DESC")</f>
        <v>https://www.fcc.gov/ecfs/search/filings?proceedings_name=13-107&amp;sort=date_disseminated,DESC</v>
      </c>
      <c r="D109" s="8" t="str">
        <f>HYPERLINK("https://apps.fcc.gov/edocs_public/Query.do?docket=13-107")</f>
        <v>https://apps.fcc.gov/edocs_public/Query.do?docket=13-107</v>
      </c>
      <c r="E109" s="4" t="s">
        <v>50</v>
      </c>
      <c r="F109" s="4">
        <v>4</v>
      </c>
      <c r="G109" s="5">
        <v>41389</v>
      </c>
      <c r="H109" s="5">
        <v>41502</v>
      </c>
    </row>
    <row r="110" spans="1:8" ht="15" customHeight="1" x14ac:dyDescent="0.25">
      <c r="A110" s="4" t="s">
        <v>1</v>
      </c>
      <c r="B110" s="4" t="str">
        <f>"13-121"</f>
        <v>13-121</v>
      </c>
      <c r="C110" s="8" t="str">
        <f>HYPERLINK("https://www.fcc.gov/ecfs/search/filings?proceedings_name=13-121&amp;sort=date_disseminated,DESC")</f>
        <v>https://www.fcc.gov/ecfs/search/filings?proceedings_name=13-121&amp;sort=date_disseminated,DESC</v>
      </c>
      <c r="D110" s="8" t="str">
        <f>HYPERLINK("https://apps.fcc.gov/edocs_public/Query.do?docket=13-121")</f>
        <v>https://apps.fcc.gov/edocs_public/Query.do?docket=13-121</v>
      </c>
      <c r="E110" s="4" t="s">
        <v>48</v>
      </c>
      <c r="F110" s="4">
        <v>4</v>
      </c>
      <c r="G110" s="5">
        <v>41404</v>
      </c>
      <c r="H110" s="5">
        <v>41527</v>
      </c>
    </row>
    <row r="111" spans="1:8" ht="15" customHeight="1" x14ac:dyDescent="0.25">
      <c r="A111" s="4" t="s">
        <v>1</v>
      </c>
      <c r="B111" s="4" t="str">
        <f>"13-123"</f>
        <v>13-123</v>
      </c>
      <c r="C111" s="8" t="str">
        <f>HYPERLINK("https://www.fcc.gov/ecfs/search/filings?proceedings_name=13-123&amp;sort=date_disseminated,DESC")</f>
        <v>https://www.fcc.gov/ecfs/search/filings?proceedings_name=13-123&amp;sort=date_disseminated,DESC</v>
      </c>
      <c r="D111" s="8" t="str">
        <f>HYPERLINK("https://apps.fcc.gov/edocs_public/Query.do?docket=13-123")</f>
        <v>https://apps.fcc.gov/edocs_public/Query.do?docket=13-123</v>
      </c>
      <c r="E111" s="4" t="s">
        <v>47</v>
      </c>
      <c r="F111" s="4">
        <v>4</v>
      </c>
      <c r="G111" s="5">
        <v>41404</v>
      </c>
      <c r="H111" s="5">
        <v>41736</v>
      </c>
    </row>
    <row r="112" spans="1:8" x14ac:dyDescent="0.25">
      <c r="A112" s="4" t="s">
        <v>1</v>
      </c>
      <c r="B112" s="4" t="str">
        <f>"13-132"</f>
        <v>13-132</v>
      </c>
      <c r="C112" s="8" t="str">
        <f>HYPERLINK("https://www.fcc.gov/ecfs/search/filings?proceedings_name=13-132&amp;sort=date_disseminated,DESC")</f>
        <v>https://www.fcc.gov/ecfs/search/filings?proceedings_name=13-132&amp;sort=date_disseminated,DESC</v>
      </c>
      <c r="D112" s="8" t="str">
        <f>HYPERLINK("https://apps.fcc.gov/edocs_public/Query.do?docket=13-132")</f>
        <v>https://apps.fcc.gov/edocs_public/Query.do?docket=13-132</v>
      </c>
      <c r="E112" s="4" t="s">
        <v>10</v>
      </c>
      <c r="F112" s="4">
        <v>4</v>
      </c>
      <c r="G112" s="5">
        <v>41411</v>
      </c>
      <c r="H112" s="5">
        <v>41451</v>
      </c>
    </row>
    <row r="113" spans="1:8" ht="15" customHeight="1" x14ac:dyDescent="0.25">
      <c r="A113" s="4" t="s">
        <v>1</v>
      </c>
      <c r="B113" s="4" t="str">
        <f>"13-133"</f>
        <v>13-133</v>
      </c>
      <c r="C113" s="8" t="str">
        <f>HYPERLINK("https://www.fcc.gov/ecfs/search/filings?proceedings_name=13-133&amp;sort=date_disseminated,DESC")</f>
        <v>https://www.fcc.gov/ecfs/search/filings?proceedings_name=13-133&amp;sort=date_disseminated,DESC</v>
      </c>
      <c r="D113" s="8" t="str">
        <f>HYPERLINK("https://apps.fcc.gov/edocs_public/Query.do?docket=13-133")</f>
        <v>https://apps.fcc.gov/edocs_public/Query.do?docket=13-133</v>
      </c>
      <c r="E113" s="4" t="s">
        <v>10</v>
      </c>
      <c r="F113" s="4">
        <v>3</v>
      </c>
      <c r="G113" s="5">
        <v>41411</v>
      </c>
      <c r="H113" s="5">
        <v>41451</v>
      </c>
    </row>
    <row r="114" spans="1:8" ht="15" customHeight="1" x14ac:dyDescent="0.25">
      <c r="A114" s="4" t="s">
        <v>1</v>
      </c>
      <c r="B114" s="4" t="str">
        <f>"13-156"</f>
        <v>13-156</v>
      </c>
      <c r="C114" s="8" t="str">
        <f>HYPERLINK("https://www.fcc.gov/ecfs/search/filings?proceedings_name=13-156&amp;sort=date_disseminated,DESC")</f>
        <v>https://www.fcc.gov/ecfs/search/filings?proceedings_name=13-156&amp;sort=date_disseminated,DESC</v>
      </c>
      <c r="D114" s="8" t="str">
        <f>HYPERLINK("https://apps.fcc.gov/edocs_public/Query.do?docket=13-156")</f>
        <v>https://apps.fcc.gov/edocs_public/Query.do?docket=13-156</v>
      </c>
      <c r="E114" s="4" t="s">
        <v>42</v>
      </c>
      <c r="F114" s="4">
        <v>2</v>
      </c>
      <c r="G114" s="5">
        <v>41438</v>
      </c>
      <c r="H114" s="5">
        <v>41579</v>
      </c>
    </row>
    <row r="115" spans="1:8" ht="15" customHeight="1" x14ac:dyDescent="0.25">
      <c r="A115" s="4" t="s">
        <v>1</v>
      </c>
      <c r="B115" s="4" t="str">
        <f>"13-165"</f>
        <v>13-165</v>
      </c>
      <c r="C115" s="8" t="str">
        <f>HYPERLINK("https://www.fcc.gov/ecfs/search/filings?proceedings_name=13-165&amp;sort=date_disseminated,DESC")</f>
        <v>https://www.fcc.gov/ecfs/search/filings?proceedings_name=13-165&amp;sort=date_disseminated,DESC</v>
      </c>
      <c r="D115" s="8" t="str">
        <f>HYPERLINK("https://apps.fcc.gov/edocs_public/Query.do?docket=13-165")</f>
        <v>https://apps.fcc.gov/edocs_public/Query.do?docket=13-165</v>
      </c>
      <c r="E115" s="4" t="s">
        <v>40</v>
      </c>
      <c r="F115" s="4">
        <v>4</v>
      </c>
      <c r="G115" s="5">
        <v>41446</v>
      </c>
      <c r="H115" s="5">
        <v>41523</v>
      </c>
    </row>
    <row r="116" spans="1:8" x14ac:dyDescent="0.25">
      <c r="A116" s="4" t="s">
        <v>1</v>
      </c>
      <c r="B116" s="4" t="str">
        <f>"13-177"</f>
        <v>13-177</v>
      </c>
      <c r="C116" s="8" t="str">
        <f>HYPERLINK("https://www.fcc.gov/ecfs/search/filings?proceedings_name=13-177&amp;sort=date_disseminated,DESC")</f>
        <v>https://www.fcc.gov/ecfs/search/filings?proceedings_name=13-177&amp;sort=date_disseminated,DESC</v>
      </c>
      <c r="D116" s="8" t="str">
        <f>HYPERLINK("https://apps.fcc.gov/edocs_public/Query.do?docket=13-177")</f>
        <v>https://apps.fcc.gov/edocs_public/Query.do?docket=13-177</v>
      </c>
      <c r="E116" s="4" t="s">
        <v>38</v>
      </c>
      <c r="F116" s="4">
        <v>7</v>
      </c>
      <c r="G116" s="5">
        <v>41465</v>
      </c>
      <c r="H116" s="5">
        <v>41547</v>
      </c>
    </row>
    <row r="117" spans="1:8" ht="45" x14ac:dyDescent="0.25">
      <c r="A117" s="4" t="s">
        <v>1</v>
      </c>
      <c r="B117" s="4" t="str">
        <f>"13-191"</f>
        <v>13-191</v>
      </c>
      <c r="C117" s="8" t="str">
        <f>HYPERLINK("https://www.fcc.gov/ecfs/search/filings?proceedings_name=13-191&amp;sort=date_disseminated,DESC")</f>
        <v>https://www.fcc.gov/ecfs/search/filings?proceedings_name=13-191&amp;sort=date_disseminated,DESC</v>
      </c>
      <c r="D117" s="8" t="str">
        <f>HYPERLINK("https://apps.fcc.gov/edocs_public/Query.do?docket=13-191")</f>
        <v>https://apps.fcc.gov/edocs_public/Query.do?docket=13-191</v>
      </c>
      <c r="E117" s="4" t="s">
        <v>37</v>
      </c>
      <c r="F117" s="4">
        <v>6</v>
      </c>
      <c r="G117" s="5">
        <v>41485</v>
      </c>
      <c r="H117" s="5">
        <v>41624</v>
      </c>
    </row>
    <row r="118" spans="1:8" x14ac:dyDescent="0.25">
      <c r="A118" s="4" t="s">
        <v>1</v>
      </c>
      <c r="B118" s="4" t="str">
        <f>"13-197"</f>
        <v>13-197</v>
      </c>
      <c r="C118" s="8" t="str">
        <f>HYPERLINK("https://www.fcc.gov/ecfs/search/filings?proceedings_name=13-197&amp;sort=date_disseminated,DESC")</f>
        <v>https://www.fcc.gov/ecfs/search/filings?proceedings_name=13-197&amp;sort=date_disseminated,DESC</v>
      </c>
      <c r="D118" s="8" t="str">
        <f>HYPERLINK("https://apps.fcc.gov/edocs_public/Query.do?docket=13-197")</f>
        <v>https://apps.fcc.gov/edocs_public/Query.do?docket=13-197</v>
      </c>
      <c r="E118" s="4" t="s">
        <v>10</v>
      </c>
      <c r="F118" s="4">
        <v>4</v>
      </c>
      <c r="G118" s="5">
        <v>41493</v>
      </c>
      <c r="H118" s="5">
        <v>41520</v>
      </c>
    </row>
    <row r="119" spans="1:8" x14ac:dyDescent="0.25">
      <c r="A119" s="4" t="s">
        <v>1</v>
      </c>
      <c r="B119" s="4" t="str">
        <f>"13-207"</f>
        <v>13-207</v>
      </c>
      <c r="C119" s="8" t="str">
        <f>HYPERLINK("https://www.fcc.gov/ecfs/search/filings?proceedings_name=13-207&amp;sort=date_disseminated,DESC")</f>
        <v>https://www.fcc.gov/ecfs/search/filings?proceedings_name=13-207&amp;sort=date_disseminated,DESC</v>
      </c>
      <c r="D119" s="8" t="str">
        <f>HYPERLINK("https://apps.fcc.gov/edocs_public/Query.do?docket=13-207")</f>
        <v>https://apps.fcc.gov/edocs_public/Query.do?docket=13-207</v>
      </c>
      <c r="E119" s="4" t="s">
        <v>36</v>
      </c>
      <c r="F119" s="4">
        <v>3</v>
      </c>
      <c r="G119" s="5">
        <v>41508</v>
      </c>
      <c r="H119" s="5">
        <v>41628</v>
      </c>
    </row>
    <row r="120" spans="1:8" x14ac:dyDescent="0.25">
      <c r="A120" s="4" t="s">
        <v>1</v>
      </c>
      <c r="B120" s="4" t="str">
        <f>"13-23"</f>
        <v>13-23</v>
      </c>
      <c r="C120" s="8" t="str">
        <f>HYPERLINK("https://www.fcc.gov/ecfs/search/filings?proceedings_name=13-23&amp;sort=date_disseminated,DESC")</f>
        <v>https://www.fcc.gov/ecfs/search/filings?proceedings_name=13-23&amp;sort=date_disseminated,DESC</v>
      </c>
      <c r="D120" s="8" t="str">
        <f>HYPERLINK("https://apps.fcc.gov/edocs_public/Query.do?docket=13-23")</f>
        <v>https://apps.fcc.gov/edocs_public/Query.do?docket=13-23</v>
      </c>
      <c r="E120" s="4" t="s">
        <v>69</v>
      </c>
      <c r="F120" s="4">
        <v>3</v>
      </c>
      <c r="G120" s="5">
        <v>41298</v>
      </c>
      <c r="H120" s="5">
        <v>41474</v>
      </c>
    </row>
    <row r="121" spans="1:8" x14ac:dyDescent="0.25">
      <c r="A121" s="4" t="s">
        <v>1</v>
      </c>
      <c r="B121" s="4" t="str">
        <f>"13-250"</f>
        <v>13-250</v>
      </c>
      <c r="C121" s="8" t="str">
        <f>HYPERLINK("https://www.fcc.gov/ecfs/search/filings?proceedings_name=13-250&amp;sort=date_disseminated,DESC")</f>
        <v>https://www.fcc.gov/ecfs/search/filings?proceedings_name=13-250&amp;sort=date_disseminated,DESC</v>
      </c>
      <c r="D121" s="8" t="str">
        <f>HYPERLINK("https://apps.fcc.gov/edocs_public/Query.do?docket=13-250")</f>
        <v>https://apps.fcc.gov/edocs_public/Query.do?docket=13-250</v>
      </c>
      <c r="E121" s="4" t="s">
        <v>32</v>
      </c>
      <c r="F121" s="4">
        <v>4</v>
      </c>
      <c r="G121" s="5">
        <v>41577</v>
      </c>
      <c r="H121" s="5">
        <v>41761</v>
      </c>
    </row>
    <row r="122" spans="1:8" x14ac:dyDescent="0.25">
      <c r="A122" s="4" t="s">
        <v>1</v>
      </c>
      <c r="B122" s="4" t="str">
        <f>"13-277"</f>
        <v>13-277</v>
      </c>
      <c r="C122" s="8" t="str">
        <f>HYPERLINK("https://www.fcc.gov/ecfs/search/filings?proceedings_name=13-277&amp;sort=date_disseminated,DESC")</f>
        <v>https://www.fcc.gov/ecfs/search/filings?proceedings_name=13-277&amp;sort=date_disseminated,DESC</v>
      </c>
      <c r="D122" s="8" t="str">
        <f>HYPERLINK("https://apps.fcc.gov/edocs_public/Query.do?docket=13-277")</f>
        <v>https://apps.fcc.gov/edocs_public/Query.do?docket=13-277</v>
      </c>
      <c r="E122" s="4" t="s">
        <v>31</v>
      </c>
      <c r="F122" s="4">
        <v>11</v>
      </c>
      <c r="G122" s="5">
        <v>41593</v>
      </c>
      <c r="H122" s="5">
        <v>41745</v>
      </c>
    </row>
    <row r="123" spans="1:8" x14ac:dyDescent="0.25">
      <c r="A123" s="4" t="s">
        <v>1</v>
      </c>
      <c r="B123" s="4" t="str">
        <f>"13-282"</f>
        <v>13-282</v>
      </c>
      <c r="C123" s="8" t="str">
        <f>HYPERLINK("https://www.fcc.gov/ecfs/search/filings?proceedings_name=13-282&amp;sort=date_disseminated,DESC")</f>
        <v>https://www.fcc.gov/ecfs/search/filings?proceedings_name=13-282&amp;sort=date_disseminated,DESC</v>
      </c>
      <c r="D123" s="8" t="str">
        <f>HYPERLINK("https://apps.fcc.gov/edocs_public/Query.do?docket=13-282")</f>
        <v>https://apps.fcc.gov/edocs_public/Query.do?docket=13-282</v>
      </c>
      <c r="E123" s="4" t="s">
        <v>30</v>
      </c>
      <c r="F123" s="4">
        <v>7</v>
      </c>
      <c r="G123" s="5">
        <v>41598</v>
      </c>
      <c r="H123" s="5">
        <v>41838</v>
      </c>
    </row>
    <row r="124" spans="1:8" ht="15" customHeight="1" x14ac:dyDescent="0.25">
      <c r="A124" s="4" t="s">
        <v>1</v>
      </c>
      <c r="B124" s="4" t="str">
        <f>"13-284"</f>
        <v>13-284</v>
      </c>
      <c r="C124" s="8" t="str">
        <f>HYPERLINK("https://www.fcc.gov/ecfs/search/filings?proceedings_name=13-284&amp;sort=date_disseminated,DESC")</f>
        <v>https://www.fcc.gov/ecfs/search/filings?proceedings_name=13-284&amp;sort=date_disseminated,DESC</v>
      </c>
      <c r="D124" s="8" t="str">
        <f>HYPERLINK("https://apps.fcc.gov/edocs_public/Query.do?docket=13-284")</f>
        <v>https://apps.fcc.gov/edocs_public/Query.do?docket=13-284</v>
      </c>
      <c r="E124" s="4" t="s">
        <v>29</v>
      </c>
      <c r="F124" s="4">
        <v>5</v>
      </c>
      <c r="G124" s="5">
        <v>41599</v>
      </c>
      <c r="H124" s="5">
        <v>41845</v>
      </c>
    </row>
    <row r="125" spans="1:8" x14ac:dyDescent="0.25">
      <c r="A125" s="4" t="s">
        <v>1</v>
      </c>
      <c r="B125" s="4" t="str">
        <f>"13-311"</f>
        <v>13-311</v>
      </c>
      <c r="C125" s="8" t="str">
        <f>HYPERLINK("https://www.fcc.gov/ecfs/search/filings?proceedings_name=13-311&amp;sort=date_disseminated,DESC")</f>
        <v>https://www.fcc.gov/ecfs/search/filings?proceedings_name=13-311&amp;sort=date_disseminated,DESC</v>
      </c>
      <c r="D125" s="8" t="str">
        <f>HYPERLINK("https://apps.fcc.gov/edocs_public/Query.do?docket=13-311")</f>
        <v>https://apps.fcc.gov/edocs_public/Query.do?docket=13-311</v>
      </c>
      <c r="E125" s="4" t="s">
        <v>10</v>
      </c>
      <c r="F125" s="4">
        <v>2</v>
      </c>
      <c r="G125" s="5">
        <v>41628</v>
      </c>
      <c r="H125" s="5">
        <v>41631</v>
      </c>
    </row>
    <row r="126" spans="1:8" x14ac:dyDescent="0.25">
      <c r="A126" s="4" t="s">
        <v>1</v>
      </c>
      <c r="B126" s="4" t="str">
        <f>"13-312"</f>
        <v>13-312</v>
      </c>
      <c r="C126" s="8" t="str">
        <f>HYPERLINK("https://www.fcc.gov/ecfs/search/filings?proceedings_name=13-312&amp;sort=date_disseminated,DESC")</f>
        <v>https://www.fcc.gov/ecfs/search/filings?proceedings_name=13-312&amp;sort=date_disseminated,DESC</v>
      </c>
      <c r="D126" s="8" t="str">
        <f>HYPERLINK("https://apps.fcc.gov/edocs_public/Query.do?docket=13-312")</f>
        <v>https://apps.fcc.gov/edocs_public/Query.do?docket=13-312</v>
      </c>
      <c r="E126" s="4" t="s">
        <v>10</v>
      </c>
      <c r="F126" s="4">
        <v>2</v>
      </c>
      <c r="G126" s="5">
        <v>41628</v>
      </c>
      <c r="H126" s="5">
        <v>41631</v>
      </c>
    </row>
    <row r="127" spans="1:8" x14ac:dyDescent="0.25">
      <c r="A127" s="4" t="s">
        <v>1</v>
      </c>
      <c r="B127" s="4" t="str">
        <f>"13-317"</f>
        <v>13-317</v>
      </c>
      <c r="C127" s="8" t="str">
        <f>HYPERLINK("https://www.fcc.gov/ecfs/search/filings?proceedings_name=13-317&amp;sort=date_disseminated,DESC")</f>
        <v>https://www.fcc.gov/ecfs/search/filings?proceedings_name=13-317&amp;sort=date_disseminated,DESC</v>
      </c>
      <c r="D127" s="8" t="str">
        <f>HYPERLINK("https://apps.fcc.gov/edocs_public/Query.do?docket=13-317")</f>
        <v>https://apps.fcc.gov/edocs_public/Query.do?docket=13-317</v>
      </c>
      <c r="E127" s="4" t="s">
        <v>25</v>
      </c>
      <c r="F127" s="4">
        <v>13</v>
      </c>
      <c r="G127" s="5">
        <v>41628</v>
      </c>
      <c r="H127" s="5">
        <v>41841</v>
      </c>
    </row>
    <row r="128" spans="1:8" ht="45" x14ac:dyDescent="0.25">
      <c r="A128" s="4" t="s">
        <v>1</v>
      </c>
      <c r="B128" s="4" t="str">
        <f>"13-50"</f>
        <v>13-50</v>
      </c>
      <c r="C128" s="8" t="str">
        <f>HYPERLINK("https://www.fcc.gov/ecfs/search/filings?proceedings_name=13-50&amp;sort=date_disseminated,DESC")</f>
        <v>https://www.fcc.gov/ecfs/search/filings?proceedings_name=13-50&amp;sort=date_disseminated,DESC</v>
      </c>
      <c r="D128" s="8" t="str">
        <f>HYPERLINK("https://apps.fcc.gov/edocs_public/Query.do?docket=13-50")</f>
        <v>https://apps.fcc.gov/edocs_public/Query.do?docket=13-50</v>
      </c>
      <c r="E128" s="4" t="s">
        <v>66</v>
      </c>
      <c r="F128" s="4">
        <v>22</v>
      </c>
      <c r="G128" s="5">
        <v>41330</v>
      </c>
      <c r="H128" s="5">
        <v>41592</v>
      </c>
    </row>
    <row r="129" spans="1:8" x14ac:dyDescent="0.25">
      <c r="A129" s="4" t="s">
        <v>1</v>
      </c>
      <c r="B129" s="4" t="str">
        <f>"13-52"</f>
        <v>13-52</v>
      </c>
      <c r="C129" s="8" t="str">
        <f>HYPERLINK("https://www.fcc.gov/ecfs/search/filings?proceedings_name=13-52&amp;sort=date_disseminated,DESC")</f>
        <v>https://www.fcc.gov/ecfs/search/filings?proceedings_name=13-52&amp;sort=date_disseminated,DESC</v>
      </c>
      <c r="D129" s="8" t="str">
        <f>HYPERLINK("https://apps.fcc.gov/edocs_public/Query.do?docket=13-52")</f>
        <v>https://apps.fcc.gov/edocs_public/Query.do?docket=13-52</v>
      </c>
      <c r="E129" s="4" t="s">
        <v>42</v>
      </c>
      <c r="F129" s="4">
        <v>2</v>
      </c>
      <c r="G129" s="5">
        <v>41333</v>
      </c>
      <c r="H129" s="5">
        <v>41472</v>
      </c>
    </row>
    <row r="130" spans="1:8" ht="30" x14ac:dyDescent="0.25">
      <c r="A130" s="4" t="s">
        <v>1</v>
      </c>
      <c r="B130" s="4" t="str">
        <f>"13-77"</f>
        <v>13-77</v>
      </c>
      <c r="C130" s="8" t="str">
        <f>HYPERLINK("https://www.fcc.gov/ecfs/search/filings?proceedings_name=13-77&amp;sort=date_disseminated,DESC")</f>
        <v>https://www.fcc.gov/ecfs/search/filings?proceedings_name=13-77&amp;sort=date_disseminated,DESC</v>
      </c>
      <c r="D130" s="8" t="str">
        <f>HYPERLINK("https://apps.fcc.gov/edocs_public/Query.do?docket=13-77")</f>
        <v>https://apps.fcc.gov/edocs_public/Query.do?docket=13-77</v>
      </c>
      <c r="E130" s="4" t="s">
        <v>57</v>
      </c>
      <c r="F130" s="4">
        <v>7</v>
      </c>
      <c r="G130" s="5">
        <v>41353</v>
      </c>
      <c r="H130" s="5">
        <v>41491</v>
      </c>
    </row>
    <row r="131" spans="1:8" x14ac:dyDescent="0.25">
      <c r="A131" s="4" t="s">
        <v>1</v>
      </c>
      <c r="B131" s="4" t="str">
        <f>"13-93"</f>
        <v>13-93</v>
      </c>
      <c r="C131" s="8" t="str">
        <f>HYPERLINK("https://www.fcc.gov/ecfs/search/filings?proceedings_name=13-93&amp;sort=date_disseminated,DESC")</f>
        <v>https://www.fcc.gov/ecfs/search/filings?proceedings_name=13-93&amp;sort=date_disseminated,DESC</v>
      </c>
      <c r="D131" s="8" t="str">
        <f>HYPERLINK("https://apps.fcc.gov/edocs_public/Query.do?docket=13-93")</f>
        <v>https://apps.fcc.gov/edocs_public/Query.do?docket=13-93</v>
      </c>
      <c r="E131" s="4" t="s">
        <v>53</v>
      </c>
      <c r="F131" s="4">
        <v>3</v>
      </c>
      <c r="G131" s="5">
        <v>41369</v>
      </c>
      <c r="H131" s="5">
        <v>41390</v>
      </c>
    </row>
    <row r="132" spans="1:8" ht="30" x14ac:dyDescent="0.25">
      <c r="A132" s="4" t="s">
        <v>1</v>
      </c>
      <c r="B132" s="4" t="str">
        <f>"14-118"</f>
        <v>14-118</v>
      </c>
      <c r="C132" s="8" t="str">
        <f>HYPERLINK("https://www.fcc.gov/ecfs/search/filings?proceedings_name=14-118&amp;sort=date_disseminated,DESC")</f>
        <v>https://www.fcc.gov/ecfs/search/filings?proceedings_name=14-118&amp;sort=date_disseminated,DESC</v>
      </c>
      <c r="D132" s="8" t="str">
        <f>HYPERLINK("https://apps.fcc.gov/edocs_public/Query.do?docket=14-118")</f>
        <v>https://apps.fcc.gov/edocs_public/Query.do?docket=14-118</v>
      </c>
      <c r="E132" s="4" t="s">
        <v>8</v>
      </c>
      <c r="F132" s="4">
        <v>2</v>
      </c>
      <c r="G132" s="5">
        <v>41848</v>
      </c>
      <c r="H132" s="5">
        <v>41849</v>
      </c>
    </row>
    <row r="133" spans="1:8" x14ac:dyDescent="0.25">
      <c r="A133" s="4" t="s">
        <v>1</v>
      </c>
      <c r="B133" s="4" t="str">
        <f>"14-120"</f>
        <v>14-120</v>
      </c>
      <c r="C133" s="8" t="str">
        <f>HYPERLINK("https://www.fcc.gov/ecfs/search/filings?proceedings_name=14-120&amp;sort=date_disseminated,DESC")</f>
        <v>https://www.fcc.gov/ecfs/search/filings?proceedings_name=14-120&amp;sort=date_disseminated,DESC</v>
      </c>
      <c r="D133" s="8" t="str">
        <f>HYPERLINK("https://apps.fcc.gov/edocs_public/Query.do?docket=14-120")</f>
        <v>https://apps.fcc.gov/edocs_public/Query.do?docket=14-120</v>
      </c>
      <c r="E133" s="4" t="s">
        <v>7</v>
      </c>
      <c r="F133" s="4">
        <v>2</v>
      </c>
      <c r="G133" s="5">
        <v>41848</v>
      </c>
      <c r="H133" s="5">
        <v>41849</v>
      </c>
    </row>
    <row r="134" spans="1:8" ht="15" customHeight="1" x14ac:dyDescent="0.25">
      <c r="A134" s="4" t="s">
        <v>1</v>
      </c>
      <c r="B134" s="4" t="str">
        <f>"14-121"</f>
        <v>14-121</v>
      </c>
      <c r="C134" s="8" t="str">
        <f>HYPERLINK("https://www.fcc.gov/ecfs/search/filings?proceedings_name=14-121&amp;sort=date_disseminated,DESC")</f>
        <v>https://www.fcc.gov/ecfs/search/filings?proceedings_name=14-121&amp;sort=date_disseminated,DESC</v>
      </c>
      <c r="D134" s="8" t="str">
        <f>HYPERLINK("https://apps.fcc.gov/edocs_public/Query.do?docket=14-121")</f>
        <v>https://apps.fcc.gov/edocs_public/Query.do?docket=14-121</v>
      </c>
      <c r="E134" s="4" t="s">
        <v>7</v>
      </c>
      <c r="F134" s="4">
        <v>3</v>
      </c>
      <c r="G134" s="5">
        <v>41848</v>
      </c>
      <c r="H134" s="5">
        <v>41849</v>
      </c>
    </row>
    <row r="135" spans="1:8" x14ac:dyDescent="0.25">
      <c r="A135" s="4" t="s">
        <v>1</v>
      </c>
      <c r="B135" s="4" t="str">
        <f>"14-32"</f>
        <v>14-32</v>
      </c>
      <c r="C135" s="8" t="str">
        <f>HYPERLINK("https://www.fcc.gov/ecfs/search/filings?proceedings_name=14-32&amp;sort=date_disseminated,DESC")</f>
        <v>https://www.fcc.gov/ecfs/search/filings?proceedings_name=14-32&amp;sort=date_disseminated,DESC</v>
      </c>
      <c r="D135" s="8" t="str">
        <f>HYPERLINK("https://apps.fcc.gov/edocs_public/Query.do?docket=14-32")</f>
        <v>https://apps.fcc.gov/edocs_public/Query.do?docket=14-32</v>
      </c>
      <c r="E135" s="4" t="s">
        <v>20</v>
      </c>
      <c r="F135" s="4">
        <v>6</v>
      </c>
      <c r="G135" s="5">
        <v>41690</v>
      </c>
      <c r="H135" s="5">
        <v>41730</v>
      </c>
    </row>
    <row r="136" spans="1:8" x14ac:dyDescent="0.25">
      <c r="A136" s="4" t="s">
        <v>1</v>
      </c>
      <c r="B136" s="4" t="str">
        <f>"14-33"</f>
        <v>14-33</v>
      </c>
      <c r="C136" s="8" t="str">
        <f>HYPERLINK("https://www.fcc.gov/ecfs/search/filings?proceedings_name=14-33&amp;sort=date_disseminated,DESC")</f>
        <v>https://www.fcc.gov/ecfs/search/filings?proceedings_name=14-33&amp;sort=date_disseminated,DESC</v>
      </c>
      <c r="D136" s="8" t="str">
        <f>HYPERLINK("https://apps.fcc.gov/edocs_public/Query.do?docket=14-33")</f>
        <v>https://apps.fcc.gov/edocs_public/Query.do?docket=14-33</v>
      </c>
      <c r="E136" s="4" t="s">
        <v>19</v>
      </c>
      <c r="F136" s="4">
        <v>17</v>
      </c>
      <c r="G136" s="5">
        <v>41690</v>
      </c>
      <c r="H136" s="5">
        <v>41842</v>
      </c>
    </row>
    <row r="137" spans="1:8" x14ac:dyDescent="0.25">
      <c r="A137" s="4" t="s">
        <v>1</v>
      </c>
      <c r="B137" s="4" t="str">
        <f>"14-37"</f>
        <v>14-37</v>
      </c>
      <c r="C137" s="8" t="str">
        <f>HYPERLINK("https://www.fcc.gov/ecfs/search/filings?proceedings_name=14-37&amp;sort=date_disseminated,DESC")</f>
        <v>https://www.fcc.gov/ecfs/search/filings?proceedings_name=14-37&amp;sort=date_disseminated,DESC</v>
      </c>
      <c r="D137" s="8" t="str">
        <f>HYPERLINK("https://apps.fcc.gov/edocs_public/Query.do?docket=14-37")</f>
        <v>https://apps.fcc.gov/edocs_public/Query.do?docket=14-37</v>
      </c>
      <c r="E137" s="4" t="s">
        <v>17</v>
      </c>
      <c r="F137" s="4">
        <v>3</v>
      </c>
      <c r="G137" s="5">
        <v>41698</v>
      </c>
      <c r="H137" s="5">
        <v>41845</v>
      </c>
    </row>
    <row r="138" spans="1:8" x14ac:dyDescent="0.25">
      <c r="A138" s="4" t="s">
        <v>1</v>
      </c>
      <c r="B138" s="4" t="str">
        <f>"14-40"</f>
        <v>14-40</v>
      </c>
      <c r="C138" s="8" t="str">
        <f>HYPERLINK("https://www.fcc.gov/ecfs/search/filings?proceedings_name=14-40&amp;sort=date_disseminated,DESC")</f>
        <v>https://www.fcc.gov/ecfs/search/filings?proceedings_name=14-40&amp;sort=date_disseminated,DESC</v>
      </c>
      <c r="D138" s="8" t="str">
        <f>HYPERLINK("https://apps.fcc.gov/edocs_public/Query.do?docket=14-40")</f>
        <v>https://apps.fcc.gov/edocs_public/Query.do?docket=14-40</v>
      </c>
      <c r="E138" s="4" t="s">
        <v>16</v>
      </c>
      <c r="F138" s="4">
        <v>4</v>
      </c>
      <c r="G138" s="5">
        <v>41705</v>
      </c>
      <c r="H138" s="5">
        <v>41722</v>
      </c>
    </row>
    <row r="139" spans="1:8" x14ac:dyDescent="0.25">
      <c r="A139" s="4" t="s">
        <v>1</v>
      </c>
      <c r="B139" s="4" t="str">
        <f>"14-41"</f>
        <v>14-41</v>
      </c>
      <c r="C139" s="8" t="str">
        <f>HYPERLINK("https://www.fcc.gov/ecfs/search/filings?proceedings_name=14-41&amp;sort=date_disseminated,DESC")</f>
        <v>https://www.fcc.gov/ecfs/search/filings?proceedings_name=14-41&amp;sort=date_disseminated,DESC</v>
      </c>
      <c r="D139" s="8" t="str">
        <f>HYPERLINK("https://apps.fcc.gov/edocs_public/Query.do?docket=14-41")</f>
        <v>https://apps.fcc.gov/edocs_public/Query.do?docket=14-41</v>
      </c>
      <c r="E139" s="4" t="s">
        <v>14</v>
      </c>
      <c r="F139" s="4">
        <v>2</v>
      </c>
      <c r="G139" s="5">
        <v>41705</v>
      </c>
      <c r="H139" s="5">
        <v>41708</v>
      </c>
    </row>
    <row r="140" spans="1:8" ht="15" customHeight="1" x14ac:dyDescent="0.25">
      <c r="A140" s="4" t="s">
        <v>1</v>
      </c>
      <c r="B140" s="4" t="str">
        <f>"14-53"</f>
        <v>14-53</v>
      </c>
      <c r="C140" s="8" t="str">
        <f>HYPERLINK("https://www.fcc.gov/ecfs/search/filings?proceedings_name=14-53&amp;sort=date_disseminated,DESC")</f>
        <v>https://www.fcc.gov/ecfs/search/filings?proceedings_name=14-53&amp;sort=date_disseminated,DESC</v>
      </c>
      <c r="D140" s="8" t="str">
        <f>HYPERLINK("https://apps.fcc.gov/edocs_public/Query.do?docket=14-53")</f>
        <v>https://apps.fcc.gov/edocs_public/Query.do?docket=14-53</v>
      </c>
      <c r="E140" s="4" t="s">
        <v>15</v>
      </c>
      <c r="F140" s="4">
        <v>3</v>
      </c>
      <c r="G140" s="5">
        <v>41729</v>
      </c>
      <c r="H140" s="5">
        <v>41838</v>
      </c>
    </row>
    <row r="141" spans="1:8" ht="15" customHeight="1" x14ac:dyDescent="0.25">
      <c r="A141" s="4" t="s">
        <v>1</v>
      </c>
      <c r="B141" s="4" t="str">
        <f>"14-86"</f>
        <v>14-86</v>
      </c>
      <c r="C141" s="8" t="str">
        <f>HYPERLINK("https://www.fcc.gov/ecfs/search/filings?proceedings_name=14-86&amp;sort=date_disseminated,DESC")</f>
        <v>https://www.fcc.gov/ecfs/search/filings?proceedings_name=14-86&amp;sort=date_disseminated,DESC</v>
      </c>
      <c r="D141" s="8" t="str">
        <f>HYPERLINK("https://apps.fcc.gov/edocs_public/Query.do?docket=14-86")</f>
        <v>https://apps.fcc.gov/edocs_public/Query.do?docket=14-86</v>
      </c>
      <c r="E141" s="4" t="s">
        <v>10</v>
      </c>
      <c r="F141" s="4">
        <v>2</v>
      </c>
      <c r="G141" s="5">
        <v>41794</v>
      </c>
      <c r="H141" s="5">
        <v>41795</v>
      </c>
    </row>
    <row r="142" spans="1:8" x14ac:dyDescent="0.25">
      <c r="A142" s="4" t="s">
        <v>1</v>
      </c>
      <c r="B142" s="4" t="str">
        <f>"RM-11384"</f>
        <v>RM-11384</v>
      </c>
      <c r="C142" s="8" t="str">
        <f>HYPERLINK("https://www.fcc.gov/ecfs/search/filings?proceedings_name=RM-11384&amp;sort=date_disseminated,DESC")</f>
        <v>https://www.fcc.gov/ecfs/search/filings?proceedings_name=RM-11384&amp;sort=date_disseminated,DESC</v>
      </c>
      <c r="D142" s="8" t="str">
        <f>HYPERLINK("https://apps.fcc.gov/edocs_public/Query.do?docket=RM-11384")</f>
        <v>https://apps.fcc.gov/edocs_public/Query.do?docket=RM-11384</v>
      </c>
      <c r="E142" s="4" t="s">
        <v>141</v>
      </c>
      <c r="F142" s="4">
        <v>17</v>
      </c>
      <c r="G142" s="5">
        <v>39274</v>
      </c>
      <c r="H142" s="5">
        <v>39345</v>
      </c>
    </row>
    <row r="143" spans="1:8" x14ac:dyDescent="0.25">
      <c r="A143" s="4" t="s">
        <v>1</v>
      </c>
      <c r="B143" s="4" t="str">
        <f>"RM-11501"</f>
        <v>RM-11501</v>
      </c>
      <c r="C143" s="8" t="str">
        <f>HYPERLINK("https://www.fcc.gov/ecfs/search/filings?proceedings_name=RM-11501&amp;sort=date_disseminated,DESC")</f>
        <v>https://www.fcc.gov/ecfs/search/filings?proceedings_name=RM-11501&amp;sort=date_disseminated,DESC</v>
      </c>
      <c r="D143" s="8" t="str">
        <f>HYPERLINK("https://apps.fcc.gov/edocs_public/Query.do?docket=RM-11501")</f>
        <v>https://apps.fcc.gov/edocs_public/Query.do?docket=RM-11501</v>
      </c>
      <c r="E143" s="4" t="s">
        <v>141</v>
      </c>
      <c r="F143" s="4">
        <v>11</v>
      </c>
      <c r="G143" s="5">
        <v>39736</v>
      </c>
      <c r="H143" s="5">
        <v>39876</v>
      </c>
    </row>
    <row r="144" spans="1:8" ht="15" customHeight="1" x14ac:dyDescent="0.25">
      <c r="A144" s="4" t="s">
        <v>1</v>
      </c>
      <c r="B144" s="4" t="str">
        <f>"RM-11560"</f>
        <v>RM-11560</v>
      </c>
      <c r="C144" s="8" t="str">
        <f>HYPERLINK("https://www.fcc.gov/ecfs/search/filings?proceedings_name=RM-11560&amp;sort=date_disseminated,DESC")</f>
        <v>https://www.fcc.gov/ecfs/search/filings?proceedings_name=RM-11560&amp;sort=date_disseminated,DESC</v>
      </c>
      <c r="D144" s="8" t="str">
        <f>HYPERLINK("https://apps.fcc.gov/edocs_public/Query.do?docket=RM-11560")</f>
        <v>https://apps.fcc.gov/edocs_public/Query.do?docket=RM-11560</v>
      </c>
      <c r="E144" s="4" t="s">
        <v>134</v>
      </c>
      <c r="F144" s="4">
        <v>14</v>
      </c>
      <c r="G144" s="5">
        <v>40064</v>
      </c>
      <c r="H144" s="5">
        <v>41410</v>
      </c>
    </row>
    <row r="145" spans="1:8" ht="15" customHeight="1" x14ac:dyDescent="0.25">
      <c r="A145" s="4" t="s">
        <v>1</v>
      </c>
      <c r="B145" s="4" t="str">
        <f>"RM-11582"</f>
        <v>RM-11582</v>
      </c>
      <c r="C145" s="8" t="str">
        <f>HYPERLINK("https://www.fcc.gov/ecfs/search/filings?proceedings_name=RM-11582&amp;sort=date_disseminated,DESC")</f>
        <v>https://www.fcc.gov/ecfs/search/filings?proceedings_name=RM-11582&amp;sort=date_disseminated,DESC</v>
      </c>
      <c r="D145" s="8" t="str">
        <f>HYPERLINK("https://apps.fcc.gov/edocs_public/Query.do?docket=RM-11582")</f>
        <v>https://apps.fcc.gov/edocs_public/Query.do?docket=RM-11582</v>
      </c>
      <c r="E145" s="4" t="s">
        <v>133</v>
      </c>
      <c r="F145" s="4">
        <v>0</v>
      </c>
      <c r="G145" s="5">
        <v>40129</v>
      </c>
      <c r="H145" s="5">
        <v>40129</v>
      </c>
    </row>
    <row r="146" spans="1:8" ht="15" customHeight="1" x14ac:dyDescent="0.25">
      <c r="A146" s="4" t="s">
        <v>1</v>
      </c>
      <c r="B146" s="4" t="str">
        <f>"RM-11620"</f>
        <v>RM-11620</v>
      </c>
      <c r="C146" s="8" t="str">
        <f>HYPERLINK("https://www.fcc.gov/ecfs/search/filings?proceedings_name=RM-11620&amp;sort=date_disseminated,DESC")</f>
        <v>https://www.fcc.gov/ecfs/search/filings?proceedings_name=RM-11620&amp;sort=date_disseminated,DESC</v>
      </c>
      <c r="D146" s="8" t="str">
        <f>HYPERLINK("https://apps.fcc.gov/edocs_public/Query.do?docket=RM-11620")</f>
        <v>https://apps.fcc.gov/edocs_public/Query.do?docket=RM-11620</v>
      </c>
      <c r="E146" s="4" t="s">
        <v>127</v>
      </c>
      <c r="F146" s="4">
        <v>11</v>
      </c>
      <c r="G146" s="5">
        <v>40590</v>
      </c>
      <c r="H146" s="5">
        <v>41086</v>
      </c>
    </row>
    <row r="147" spans="1:8" ht="30" x14ac:dyDescent="0.25">
      <c r="A147" s="4" t="s">
        <v>1</v>
      </c>
      <c r="B147" s="4" t="str">
        <f>"RM-11631"</f>
        <v>RM-11631</v>
      </c>
      <c r="C147" s="8" t="str">
        <f>HYPERLINK("https://www.fcc.gov/ecfs/search/filings?proceedings_name=RM-11631&amp;sort=date_disseminated,DESC")</f>
        <v>https://www.fcc.gov/ecfs/search/filings?proceedings_name=RM-11631&amp;sort=date_disseminated,DESC</v>
      </c>
      <c r="D147" s="8" t="str">
        <f>HYPERLINK("https://apps.fcc.gov/edocs_public/Query.do?docket=RM-11631")</f>
        <v>https://apps.fcc.gov/edocs_public/Query.do?docket=RM-11631</v>
      </c>
      <c r="E147" s="4" t="s">
        <v>123</v>
      </c>
      <c r="F147" s="4">
        <v>0</v>
      </c>
      <c r="G147" s="5">
        <v>40673</v>
      </c>
      <c r="H147" s="5">
        <v>40673</v>
      </c>
    </row>
    <row r="148" spans="1:8" ht="30" x14ac:dyDescent="0.25">
      <c r="A148" s="4" t="s">
        <v>1</v>
      </c>
      <c r="B148" s="4" t="str">
        <f>"RM-11634"</f>
        <v>RM-11634</v>
      </c>
      <c r="C148" s="8" t="str">
        <f>HYPERLINK("https://www.fcc.gov/ecfs/search/filings?proceedings_name=RM-11634&amp;sort=date_disseminated,DESC")</f>
        <v>https://www.fcc.gov/ecfs/search/filings?proceedings_name=RM-11634&amp;sort=date_disseminated,DESC</v>
      </c>
      <c r="D148" s="8" t="str">
        <f>HYPERLINK("https://apps.fcc.gov/edocs_public/Query.do?docket=RM-11634")</f>
        <v>https://apps.fcc.gov/edocs_public/Query.do?docket=RM-11634</v>
      </c>
      <c r="E148" s="4" t="s">
        <v>122</v>
      </c>
      <c r="F148" s="4">
        <v>2</v>
      </c>
      <c r="G148" s="5">
        <v>40739</v>
      </c>
      <c r="H148" s="5">
        <v>40856</v>
      </c>
    </row>
    <row r="149" spans="1:8" ht="45" x14ac:dyDescent="0.25">
      <c r="A149" s="4" t="s">
        <v>1</v>
      </c>
      <c r="B149" s="4" t="str">
        <f>"RM-11636"</f>
        <v>RM-11636</v>
      </c>
      <c r="C149" s="8" t="str">
        <f>HYPERLINK("https://www.fcc.gov/ecfs/search/filings?proceedings_name=RM-11636&amp;sort=date_disseminated,DESC")</f>
        <v>https://www.fcc.gov/ecfs/search/filings?proceedings_name=RM-11636&amp;sort=date_disseminated,DESC</v>
      </c>
      <c r="D149" s="8" t="str">
        <f>HYPERLINK("https://apps.fcc.gov/edocs_public/Query.do?docket=RM-11636")</f>
        <v>https://apps.fcc.gov/edocs_public/Query.do?docket=RM-11636</v>
      </c>
      <c r="E149" s="4" t="s">
        <v>121</v>
      </c>
      <c r="F149" s="4">
        <v>6</v>
      </c>
      <c r="G149" s="5">
        <v>40771</v>
      </c>
      <c r="H149" s="5">
        <v>41367</v>
      </c>
    </row>
    <row r="150" spans="1:8" x14ac:dyDescent="0.25">
      <c r="A150" s="4" t="s">
        <v>1</v>
      </c>
      <c r="B150" s="4" t="str">
        <f>"RM-11641"</f>
        <v>RM-11641</v>
      </c>
      <c r="C150" s="8" t="str">
        <f>HYPERLINK("https://www.fcc.gov/ecfs/search/filings?proceedings_name=RM-11641&amp;sort=date_disseminated,DESC")</f>
        <v>https://www.fcc.gov/ecfs/search/filings?proceedings_name=RM-11641&amp;sort=date_disseminated,DESC</v>
      </c>
      <c r="D150" s="8" t="str">
        <f>HYPERLINK("https://apps.fcc.gov/edocs_public/Query.do?docket=RM-11641")</f>
        <v>https://apps.fcc.gov/edocs_public/Query.do?docket=RM-11641</v>
      </c>
      <c r="E150" s="4" t="s">
        <v>90</v>
      </c>
      <c r="F150" s="4">
        <v>1</v>
      </c>
      <c r="G150" s="5">
        <v>40813</v>
      </c>
      <c r="H150" s="5">
        <v>40786</v>
      </c>
    </row>
    <row r="151" spans="1:8" x14ac:dyDescent="0.25">
      <c r="A151" s="4" t="s">
        <v>1</v>
      </c>
      <c r="B151" s="4" t="str">
        <f>"RM-11642"</f>
        <v>RM-11642</v>
      </c>
      <c r="C151" s="8" t="str">
        <f>HYPERLINK("https://www.fcc.gov/ecfs/search/filings?proceedings_name=RM-11642&amp;sort=date_disseminated,DESC")</f>
        <v>https://www.fcc.gov/ecfs/search/filings?proceedings_name=RM-11642&amp;sort=date_disseminated,DESC</v>
      </c>
      <c r="D151" s="8" t="str">
        <f>HYPERLINK("https://apps.fcc.gov/edocs_public/Query.do?docket=RM-11642")</f>
        <v>https://apps.fcc.gov/edocs_public/Query.do?docket=RM-11642</v>
      </c>
      <c r="E151" s="4" t="s">
        <v>90</v>
      </c>
      <c r="F151" s="4">
        <v>1</v>
      </c>
      <c r="G151" s="5">
        <v>40813</v>
      </c>
      <c r="H151" s="5">
        <v>40843</v>
      </c>
    </row>
    <row r="152" spans="1:8" x14ac:dyDescent="0.25">
      <c r="A152" s="4" t="s">
        <v>1</v>
      </c>
      <c r="B152" s="4" t="str">
        <f>"RM-11643"</f>
        <v>RM-11643</v>
      </c>
      <c r="C152" s="8" t="str">
        <f>HYPERLINK("https://www.fcc.gov/ecfs/search/filings?proceedings_name=RM-11643&amp;sort=date_disseminated,DESC")</f>
        <v>https://www.fcc.gov/ecfs/search/filings?proceedings_name=RM-11643&amp;sort=date_disseminated,DESC</v>
      </c>
      <c r="D152" s="8" t="str">
        <f>HYPERLINK("https://apps.fcc.gov/edocs_public/Query.do?docket=RM-11643")</f>
        <v>https://apps.fcc.gov/edocs_public/Query.do?docket=RM-11643</v>
      </c>
      <c r="E152" s="4" t="s">
        <v>119</v>
      </c>
      <c r="F152" s="4">
        <v>22</v>
      </c>
      <c r="G152" s="5">
        <v>40813</v>
      </c>
      <c r="H152" s="5">
        <v>40870</v>
      </c>
    </row>
    <row r="153" spans="1:8" x14ac:dyDescent="0.25">
      <c r="A153" s="4" t="s">
        <v>1</v>
      </c>
      <c r="B153" s="4" t="str">
        <f>"RM-11645"</f>
        <v>RM-11645</v>
      </c>
      <c r="C153" s="8" t="str">
        <f>HYPERLINK("https://www.fcc.gov/ecfs/search/filings?proceedings_name=RM-11645&amp;sort=date_disseminated,DESC")</f>
        <v>https://www.fcc.gov/ecfs/search/filings?proceedings_name=RM-11645&amp;sort=date_disseminated,DESC</v>
      </c>
      <c r="D153" s="8" t="str">
        <f>HYPERLINK("https://apps.fcc.gov/edocs_public/Query.do?docket=RM-11645")</f>
        <v>https://apps.fcc.gov/edocs_public/Query.do?docket=RM-11645</v>
      </c>
      <c r="E153" s="4" t="s">
        <v>90</v>
      </c>
      <c r="F153" s="4">
        <v>4</v>
      </c>
      <c r="G153" s="5">
        <v>40938</v>
      </c>
      <c r="H153" s="5">
        <v>41593</v>
      </c>
    </row>
    <row r="154" spans="1:8" x14ac:dyDescent="0.25">
      <c r="A154" s="4" t="s">
        <v>1</v>
      </c>
      <c r="B154" s="4" t="str">
        <f>"RM-11650"</f>
        <v>RM-11650</v>
      </c>
      <c r="C154" s="8" t="str">
        <f>HYPERLINK("https://www.fcc.gov/ecfs/search/filings?proceedings_name=RM-11650&amp;sort=date_disseminated,DESC")</f>
        <v>https://www.fcc.gov/ecfs/search/filings?proceedings_name=RM-11650&amp;sort=date_disseminated,DESC</v>
      </c>
      <c r="D154" s="8" t="str">
        <f>HYPERLINK("https://apps.fcc.gov/edocs_public/Query.do?docket=RM-11650")</f>
        <v>https://apps.fcc.gov/edocs_public/Query.do?docket=RM-11650</v>
      </c>
      <c r="E154" s="4" t="s">
        <v>104</v>
      </c>
      <c r="F154" s="4">
        <v>5</v>
      </c>
      <c r="G154" s="5">
        <v>41002</v>
      </c>
      <c r="H154" s="5">
        <v>41471</v>
      </c>
    </row>
    <row r="155" spans="1:8" ht="30" x14ac:dyDescent="0.25">
      <c r="A155" s="4" t="s">
        <v>1</v>
      </c>
      <c r="B155" s="4" t="str">
        <f>"RM-11656"</f>
        <v>RM-11656</v>
      </c>
      <c r="C155" s="8" t="str">
        <f>HYPERLINK("https://www.fcc.gov/ecfs/search/filings?proceedings_name=RM-11656&amp;sort=date_disseminated,DESC")</f>
        <v>https://www.fcc.gov/ecfs/search/filings?proceedings_name=RM-11656&amp;sort=date_disseminated,DESC</v>
      </c>
      <c r="D155" s="8" t="str">
        <f>HYPERLINK("https://apps.fcc.gov/edocs_public/Query.do?docket=RM-11656")</f>
        <v>https://apps.fcc.gov/edocs_public/Query.do?docket=RM-11656</v>
      </c>
      <c r="E155" s="4" t="s">
        <v>112</v>
      </c>
      <c r="F155" s="4">
        <v>2</v>
      </c>
      <c r="G155" s="5">
        <v>40962</v>
      </c>
      <c r="H155" s="5">
        <v>41039</v>
      </c>
    </row>
    <row r="156" spans="1:8" x14ac:dyDescent="0.25">
      <c r="A156" s="4" t="s">
        <v>1</v>
      </c>
      <c r="B156" s="4" t="str">
        <f>"RM-11659"</f>
        <v>RM-11659</v>
      </c>
      <c r="C156" s="8" t="str">
        <f>HYPERLINK("https://www.fcc.gov/ecfs/search/filings?proceedings_name=RM-11659&amp;sort=date_disseminated,DESC")</f>
        <v>https://www.fcc.gov/ecfs/search/filings?proceedings_name=RM-11659&amp;sort=date_disseminated,DESC</v>
      </c>
      <c r="D156" s="8" t="str">
        <f>HYPERLINK("https://apps.fcc.gov/edocs_public/Query.do?docket=RM-11659")</f>
        <v>https://apps.fcc.gov/edocs_public/Query.do?docket=RM-11659</v>
      </c>
      <c r="E156" s="4" t="s">
        <v>103</v>
      </c>
      <c r="F156" s="4">
        <v>13</v>
      </c>
      <c r="G156" s="5">
        <v>41012</v>
      </c>
      <c r="H156" s="5">
        <v>41053</v>
      </c>
    </row>
    <row r="157" spans="1:8" ht="15" customHeight="1" x14ac:dyDescent="0.25">
      <c r="A157" s="4" t="s">
        <v>1</v>
      </c>
      <c r="B157" s="4" t="str">
        <f>"RM-11662"</f>
        <v>RM-11662</v>
      </c>
      <c r="C157" s="8" t="str">
        <f>HYPERLINK("https://www.fcc.gov/ecfs/search/filings?proceedings_name=RM-11662&amp;sort=date_disseminated,DESC")</f>
        <v>https://www.fcc.gov/ecfs/search/filings?proceedings_name=RM-11662&amp;sort=date_disseminated,DESC</v>
      </c>
      <c r="D157" s="8" t="str">
        <f>HYPERLINK("https://apps.fcc.gov/edocs_public/Query.do?docket=RM-11662")</f>
        <v>https://apps.fcc.gov/edocs_public/Query.do?docket=RM-11662</v>
      </c>
      <c r="E157" s="4" t="s">
        <v>98</v>
      </c>
      <c r="F157" s="4">
        <v>3</v>
      </c>
      <c r="G157" s="5">
        <v>41052</v>
      </c>
      <c r="H157" s="5">
        <v>41170</v>
      </c>
    </row>
    <row r="158" spans="1:8" ht="30" x14ac:dyDescent="0.25">
      <c r="A158" s="4" t="s">
        <v>1</v>
      </c>
      <c r="B158" s="4" t="str">
        <f>"RM-11665"</f>
        <v>RM-11665</v>
      </c>
      <c r="C158" s="8" t="str">
        <f>HYPERLINK("https://www.fcc.gov/ecfs/search/filings?proceedings_name=RM-11665&amp;sort=date_disseminated,DESC")</f>
        <v>https://www.fcc.gov/ecfs/search/filings?proceedings_name=RM-11665&amp;sort=date_disseminated,DESC</v>
      </c>
      <c r="D158" s="8" t="str">
        <f>HYPERLINK("https://apps.fcc.gov/edocs_public/Query.do?docket=RM-11665")</f>
        <v>https://apps.fcc.gov/edocs_public/Query.do?docket=RM-11665</v>
      </c>
      <c r="E158" s="4" t="s">
        <v>94</v>
      </c>
      <c r="F158" s="4">
        <v>2</v>
      </c>
      <c r="G158" s="5">
        <v>41080</v>
      </c>
      <c r="H158" s="5">
        <v>41207</v>
      </c>
    </row>
    <row r="159" spans="1:8" x14ac:dyDescent="0.25">
      <c r="A159" s="4" t="s">
        <v>1</v>
      </c>
      <c r="B159" s="4" t="str">
        <f>"RM-11668"</f>
        <v>RM-11668</v>
      </c>
      <c r="C159" s="8" t="str">
        <f>HYPERLINK("https://www.fcc.gov/ecfs/search/filings?proceedings_name=RM-11668&amp;sort=date_disseminated,DESC")</f>
        <v>https://www.fcc.gov/ecfs/search/filings?proceedings_name=RM-11668&amp;sort=date_disseminated,DESC</v>
      </c>
      <c r="D159" s="8" t="str">
        <f>HYPERLINK("https://apps.fcc.gov/edocs_public/Query.do?docket=RM-11668")</f>
        <v>https://apps.fcc.gov/edocs_public/Query.do?docket=RM-11668</v>
      </c>
      <c r="E159" s="4" t="s">
        <v>42</v>
      </c>
      <c r="F159" s="4">
        <v>5</v>
      </c>
      <c r="G159" s="5">
        <v>41109</v>
      </c>
      <c r="H159" s="5">
        <v>41309</v>
      </c>
    </row>
    <row r="160" spans="1:8" x14ac:dyDescent="0.25">
      <c r="A160" s="4" t="s">
        <v>1</v>
      </c>
      <c r="B160" s="4" t="str">
        <f>"RM-11669"</f>
        <v>RM-11669</v>
      </c>
      <c r="C160" s="8" t="str">
        <f>HYPERLINK("https://www.fcc.gov/ecfs/search/filings?proceedings_name=RM-11669&amp;sort=date_disseminated,DESC")</f>
        <v>https://www.fcc.gov/ecfs/search/filings?proceedings_name=RM-11669&amp;sort=date_disseminated,DESC</v>
      </c>
      <c r="D160" s="8" t="str">
        <f>HYPERLINK("https://apps.fcc.gov/edocs_public/Query.do?docket=RM-11669")</f>
        <v>https://apps.fcc.gov/edocs_public/Query.do?docket=RM-11669</v>
      </c>
      <c r="E160" s="4" t="s">
        <v>90</v>
      </c>
      <c r="F160" s="4">
        <v>3</v>
      </c>
      <c r="G160" s="5">
        <v>41114</v>
      </c>
      <c r="H160" s="5">
        <v>41614</v>
      </c>
    </row>
    <row r="161" spans="1:8" x14ac:dyDescent="0.25">
      <c r="A161" s="4" t="s">
        <v>1</v>
      </c>
      <c r="B161" s="4" t="str">
        <f>"RM-11670"</f>
        <v>RM-11670</v>
      </c>
      <c r="C161" s="8" t="str">
        <f>HYPERLINK("https://www.fcc.gov/ecfs/search/filings?proceedings_name=RM-11670&amp;sort=date_disseminated,DESC")</f>
        <v>https://www.fcc.gov/ecfs/search/filings?proceedings_name=RM-11670&amp;sort=date_disseminated,DESC</v>
      </c>
      <c r="D161" s="8" t="str">
        <f>HYPERLINK("https://apps.fcc.gov/edocs_public/Query.do?docket=RM-11670")</f>
        <v>https://apps.fcc.gov/edocs_public/Query.do?docket=RM-11670</v>
      </c>
      <c r="E161" s="4" t="s">
        <v>86</v>
      </c>
      <c r="F161" s="4">
        <v>2</v>
      </c>
      <c r="G161" s="5">
        <v>41134</v>
      </c>
      <c r="H161" s="5">
        <v>41488</v>
      </c>
    </row>
    <row r="162" spans="1:8" x14ac:dyDescent="0.25">
      <c r="A162" s="4" t="s">
        <v>1</v>
      </c>
      <c r="B162" s="4" t="str">
        <f>"RM-11671"</f>
        <v>RM-11671</v>
      </c>
      <c r="C162" s="8" t="str">
        <f>HYPERLINK("https://www.fcc.gov/ecfs/search/filings?proceedings_name=RM-11671&amp;sort=date_disseminated,DESC")</f>
        <v>https://www.fcc.gov/ecfs/search/filings?proceedings_name=RM-11671&amp;sort=date_disseminated,DESC</v>
      </c>
      <c r="D162" s="8" t="str">
        <f>HYPERLINK("https://apps.fcc.gov/edocs_public/Query.do?docket=RM-11671")</f>
        <v>https://apps.fcc.gov/edocs_public/Query.do?docket=RM-11671</v>
      </c>
      <c r="E162" s="4" t="s">
        <v>85</v>
      </c>
      <c r="F162" s="4">
        <v>4</v>
      </c>
      <c r="G162" s="5">
        <v>41135</v>
      </c>
      <c r="H162" s="5">
        <v>41460</v>
      </c>
    </row>
    <row r="163" spans="1:8" ht="15" customHeight="1" x14ac:dyDescent="0.25">
      <c r="A163" s="4" t="s">
        <v>1</v>
      </c>
      <c r="B163" s="4" t="str">
        <f>"RM-11672"</f>
        <v>RM-11672</v>
      </c>
      <c r="C163" s="8" t="str">
        <f>HYPERLINK("https://www.fcc.gov/ecfs/search/filings?proceedings_name=RM-11672&amp;sort=date_disseminated,DESC")</f>
        <v>https://www.fcc.gov/ecfs/search/filings?proceedings_name=RM-11672&amp;sort=date_disseminated,DESC</v>
      </c>
      <c r="D163" s="8" t="str">
        <f>HYPERLINK("https://apps.fcc.gov/edocs_public/Query.do?docket=RM-11672")</f>
        <v>https://apps.fcc.gov/edocs_public/Query.do?docket=RM-11672</v>
      </c>
      <c r="E163" s="4" t="s">
        <v>82</v>
      </c>
      <c r="F163" s="4">
        <v>2</v>
      </c>
      <c r="G163" s="5">
        <v>41148</v>
      </c>
      <c r="H163" s="5">
        <v>41191</v>
      </c>
    </row>
    <row r="164" spans="1:8" x14ac:dyDescent="0.25">
      <c r="A164" s="4" t="s">
        <v>1</v>
      </c>
      <c r="B164" s="4" t="str">
        <f>"RM-11676"</f>
        <v>RM-11676</v>
      </c>
      <c r="C164" s="8" t="str">
        <f>HYPERLINK("https://www.fcc.gov/ecfs/search/filings?proceedings_name=RM-11676&amp;sort=date_disseminated,DESC")</f>
        <v>https://www.fcc.gov/ecfs/search/filings?proceedings_name=RM-11676&amp;sort=date_disseminated,DESC</v>
      </c>
      <c r="D164" s="8" t="str">
        <f>HYPERLINK("https://apps.fcc.gov/edocs_public/Query.do?docket=RM-11676")</f>
        <v>https://apps.fcc.gov/edocs_public/Query.do?docket=RM-11676</v>
      </c>
      <c r="E164" s="4" t="s">
        <v>79</v>
      </c>
      <c r="F164" s="4">
        <v>3</v>
      </c>
      <c r="G164" s="5">
        <v>41162</v>
      </c>
      <c r="H164" s="5">
        <v>41304</v>
      </c>
    </row>
    <row r="165" spans="1:8" ht="15" customHeight="1" x14ac:dyDescent="0.25">
      <c r="A165" s="4" t="s">
        <v>1</v>
      </c>
      <c r="B165" s="4" t="str">
        <f>"RM-11677"</f>
        <v>RM-11677</v>
      </c>
      <c r="C165" s="8" t="str">
        <f>HYPERLINK("https://www.fcc.gov/ecfs/search/filings?proceedings_name=RM-11677&amp;sort=date_disseminated,DESC")</f>
        <v>https://www.fcc.gov/ecfs/search/filings?proceedings_name=RM-11677&amp;sort=date_disseminated,DESC</v>
      </c>
      <c r="D165" s="8" t="str">
        <f>HYPERLINK("https://apps.fcc.gov/edocs_public/Query.do?docket=RM-11677")</f>
        <v>https://apps.fcc.gov/edocs_public/Query.do?docket=RM-11677</v>
      </c>
      <c r="E165" s="4" t="s">
        <v>78</v>
      </c>
      <c r="F165" s="4">
        <v>3</v>
      </c>
      <c r="G165" s="5">
        <v>41165</v>
      </c>
      <c r="H165" s="5">
        <v>41367</v>
      </c>
    </row>
    <row r="166" spans="1:8" ht="15" customHeight="1" x14ac:dyDescent="0.25">
      <c r="A166" s="4" t="s">
        <v>1</v>
      </c>
      <c r="B166" s="4" t="str">
        <f>"RM-11679"</f>
        <v>RM-11679</v>
      </c>
      <c r="C166" s="8" t="str">
        <f>HYPERLINK("https://www.fcc.gov/ecfs/search/filings?proceedings_name=RM-11679&amp;sort=date_disseminated,DESC")</f>
        <v>https://www.fcc.gov/ecfs/search/filings?proceedings_name=RM-11679&amp;sort=date_disseminated,DESC</v>
      </c>
      <c r="D166" s="8" t="str">
        <f>HYPERLINK("https://apps.fcc.gov/edocs_public/Query.do?docket=RM-11679")</f>
        <v>https://apps.fcc.gov/edocs_public/Query.do?docket=RM-11679</v>
      </c>
      <c r="E166" s="4" t="s">
        <v>77</v>
      </c>
      <c r="F166" s="4">
        <v>4</v>
      </c>
      <c r="G166" s="5">
        <v>41177</v>
      </c>
      <c r="H166" s="5">
        <v>41471</v>
      </c>
    </row>
    <row r="167" spans="1:8" ht="15" customHeight="1" x14ac:dyDescent="0.25">
      <c r="A167" s="4" t="s">
        <v>1</v>
      </c>
      <c r="B167" s="4" t="str">
        <f>"RM-11686"</f>
        <v>RM-11686</v>
      </c>
      <c r="C167" s="8" t="str">
        <f>HYPERLINK("https://www.fcc.gov/ecfs/search/filings?proceedings_name=RM-11686&amp;sort=date_disseminated,DESC")</f>
        <v>https://www.fcc.gov/ecfs/search/filings?proceedings_name=RM-11686&amp;sort=date_disseminated,DESC</v>
      </c>
      <c r="D167" s="8" t="str">
        <f>HYPERLINK("https://apps.fcc.gov/edocs_public/Query.do?docket=RM-11686")</f>
        <v>https://apps.fcc.gov/edocs_public/Query.do?docket=RM-11686</v>
      </c>
      <c r="E167" s="4" t="s">
        <v>73</v>
      </c>
      <c r="F167" s="4">
        <v>3</v>
      </c>
      <c r="G167" s="5">
        <v>41254</v>
      </c>
      <c r="H167" s="5">
        <v>41446</v>
      </c>
    </row>
    <row r="168" spans="1:8" ht="15" customHeight="1" x14ac:dyDescent="0.25">
      <c r="A168" s="4" t="s">
        <v>1</v>
      </c>
      <c r="B168" s="4" t="str">
        <f>"RM-11687"</f>
        <v>RM-11687</v>
      </c>
      <c r="C168" s="8" t="str">
        <f>HYPERLINK("https://www.fcc.gov/ecfs/search/filings?proceedings_name=RM-11687&amp;sort=date_disseminated,DESC")</f>
        <v>https://www.fcc.gov/ecfs/search/filings?proceedings_name=RM-11687&amp;sort=date_disseminated,DESC</v>
      </c>
      <c r="D168" s="8" t="str">
        <f>HYPERLINK("https://apps.fcc.gov/edocs_public/Query.do?docket=RM-11687")</f>
        <v>https://apps.fcc.gov/edocs_public/Query.do?docket=RM-11687</v>
      </c>
      <c r="E168" s="4" t="s">
        <v>70</v>
      </c>
      <c r="F168" s="4">
        <v>3</v>
      </c>
      <c r="G168" s="5">
        <v>41264</v>
      </c>
      <c r="H168" s="5">
        <v>41641</v>
      </c>
    </row>
    <row r="169" spans="1:8" ht="15" customHeight="1" x14ac:dyDescent="0.25">
      <c r="A169" s="4" t="s">
        <v>1</v>
      </c>
      <c r="B169" s="4" t="str">
        <f>"RM-11690"</f>
        <v>RM-11690</v>
      </c>
      <c r="C169" s="8" t="str">
        <f>HYPERLINK("https://www.fcc.gov/ecfs/search/filings?proceedings_name=RM-11690&amp;sort=date_disseminated,DESC")</f>
        <v>https://www.fcc.gov/ecfs/search/filings?proceedings_name=RM-11690&amp;sort=date_disseminated,DESC</v>
      </c>
      <c r="D169" s="8" t="str">
        <f>HYPERLINK("https://apps.fcc.gov/edocs_public/Query.do?docket=RM-11690")</f>
        <v>https://apps.fcc.gov/edocs_public/Query.do?docket=RM-11690</v>
      </c>
      <c r="E169" s="4" t="s">
        <v>69</v>
      </c>
      <c r="F169" s="4">
        <v>2</v>
      </c>
      <c r="G169" s="5">
        <v>41298</v>
      </c>
      <c r="H169" s="5">
        <v>41474</v>
      </c>
    </row>
    <row r="170" spans="1:8" x14ac:dyDescent="0.25">
      <c r="A170" s="4" t="s">
        <v>1</v>
      </c>
      <c r="B170" s="4" t="str">
        <f>"RM-11693"</f>
        <v>RM-11693</v>
      </c>
      <c r="C170" s="8" t="str">
        <f>HYPERLINK("https://www.fcc.gov/ecfs/search/filings?proceedings_name=RM-11693&amp;sort=date_disseminated,DESC")</f>
        <v>https://www.fcc.gov/ecfs/search/filings?proceedings_name=RM-11693&amp;sort=date_disseminated,DESC</v>
      </c>
      <c r="D170" s="8" t="str">
        <f>HYPERLINK("https://apps.fcc.gov/edocs_public/Query.do?docket=RM-11693")</f>
        <v>https://apps.fcc.gov/edocs_public/Query.do?docket=RM-11693</v>
      </c>
      <c r="E170" s="4" t="s">
        <v>65</v>
      </c>
      <c r="F170" s="4">
        <v>3</v>
      </c>
      <c r="G170" s="5">
        <v>41333</v>
      </c>
      <c r="H170" s="5">
        <v>41472</v>
      </c>
    </row>
    <row r="171" spans="1:8" ht="60" x14ac:dyDescent="0.25">
      <c r="A171" s="4" t="s">
        <v>1</v>
      </c>
      <c r="B171" s="4" t="str">
        <f>"RM-11694"</f>
        <v>RM-11694</v>
      </c>
      <c r="C171" s="8" t="str">
        <f>HYPERLINK("https://www.fcc.gov/ecfs/search/filings?proceedings_name=RM-11694&amp;sort=date_disseminated,DESC")</f>
        <v>https://www.fcc.gov/ecfs/search/filings?proceedings_name=RM-11694&amp;sort=date_disseminated,DESC</v>
      </c>
      <c r="D171" s="8" t="str">
        <f>HYPERLINK("https://apps.fcc.gov/edocs_public/Query.do?docket=RM-11694")</f>
        <v>https://apps.fcc.gov/edocs_public/Query.do?docket=RM-11694</v>
      </c>
      <c r="E171" s="4" t="s">
        <v>258</v>
      </c>
      <c r="F171" s="4">
        <v>1</v>
      </c>
      <c r="G171" s="5">
        <v>41348</v>
      </c>
      <c r="H171" s="5">
        <v>41393</v>
      </c>
    </row>
    <row r="172" spans="1:8" ht="60" x14ac:dyDescent="0.25">
      <c r="A172" s="4" t="s">
        <v>1</v>
      </c>
      <c r="B172" s="4" t="str">
        <f>"RM-11695"</f>
        <v>RM-11695</v>
      </c>
      <c r="C172" s="8" t="str">
        <f>HYPERLINK("https://www.fcc.gov/ecfs/search/filings?proceedings_name=RM-11695&amp;sort=date_disseminated,DESC")</f>
        <v>https://www.fcc.gov/ecfs/search/filings?proceedings_name=RM-11695&amp;sort=date_disseminated,DESC</v>
      </c>
      <c r="D172" s="8" t="str">
        <f>HYPERLINK("https://apps.fcc.gov/edocs_public/Query.do?docket=RM-11695")</f>
        <v>https://apps.fcc.gov/edocs_public/Query.do?docket=RM-11695</v>
      </c>
      <c r="E172" s="4" t="s">
        <v>59</v>
      </c>
      <c r="F172" s="4">
        <v>2</v>
      </c>
      <c r="G172" s="5">
        <v>41348</v>
      </c>
      <c r="H172" s="5">
        <v>41393</v>
      </c>
    </row>
    <row r="173" spans="1:8" x14ac:dyDescent="0.25">
      <c r="A173" s="4" t="s">
        <v>1</v>
      </c>
      <c r="B173" s="4" t="str">
        <f>"RM-11696"</f>
        <v>RM-11696</v>
      </c>
      <c r="C173" s="8" t="str">
        <f>HYPERLINK("https://www.fcc.gov/ecfs/search/filings?proceedings_name=RM-11696&amp;sort=date_disseminated,DESC")</f>
        <v>https://www.fcc.gov/ecfs/search/filings?proceedings_name=RM-11696&amp;sort=date_disseminated,DESC</v>
      </c>
      <c r="D173" s="8" t="str">
        <f>HYPERLINK("https://apps.fcc.gov/edocs_public/Query.do?docket=RM-11696")</f>
        <v>https://apps.fcc.gov/edocs_public/Query.do?docket=RM-11696</v>
      </c>
      <c r="E173" s="4" t="s">
        <v>51</v>
      </c>
      <c r="F173" s="4">
        <v>2</v>
      </c>
      <c r="G173" s="5">
        <v>41386</v>
      </c>
      <c r="H173" s="5">
        <v>41761</v>
      </c>
    </row>
    <row r="174" spans="1:8" ht="15" customHeight="1" x14ac:dyDescent="0.25">
      <c r="A174" s="4" t="s">
        <v>1</v>
      </c>
      <c r="B174" s="4" t="str">
        <f>"RM-11700"</f>
        <v>RM-11700</v>
      </c>
      <c r="C174" s="8" t="str">
        <f>HYPERLINK("https://www.fcc.gov/ecfs/search/filings?proceedings_name=RM-11700&amp;sort=date_disseminated,DESC")</f>
        <v>https://www.fcc.gov/ecfs/search/filings?proceedings_name=RM-11700&amp;sort=date_disseminated,DESC</v>
      </c>
      <c r="D174" s="8" t="str">
        <f>HYPERLINK("https://apps.fcc.gov/edocs_public/Query.do?docket=RM-11700")</f>
        <v>https://apps.fcc.gov/edocs_public/Query.do?docket=RM-11700</v>
      </c>
      <c r="E174" s="4" t="s">
        <v>41</v>
      </c>
      <c r="F174" s="4">
        <v>2</v>
      </c>
      <c r="G174" s="5">
        <v>41445</v>
      </c>
      <c r="H174" s="5">
        <v>41628</v>
      </c>
    </row>
    <row r="175" spans="1:8" x14ac:dyDescent="0.25">
      <c r="A175" s="4" t="s">
        <v>1</v>
      </c>
      <c r="B175" s="4" t="str">
        <f>"RM-11704"</f>
        <v>RM-11704</v>
      </c>
      <c r="C175" s="8" t="str">
        <f>HYPERLINK("https://www.fcc.gov/ecfs/search/filings?proceedings_name=RM-11704&amp;sort=date_disseminated,DESC")</f>
        <v>https://www.fcc.gov/ecfs/search/filings?proceedings_name=RM-11704&amp;sort=date_disseminated,DESC</v>
      </c>
      <c r="D175" s="8" t="str">
        <f>HYPERLINK("https://apps.fcc.gov/edocs_public/Query.do?docket=RM-11704")</f>
        <v>https://apps.fcc.gov/edocs_public/Query.do?docket=RM-11704</v>
      </c>
      <c r="E175" s="4" t="s">
        <v>29</v>
      </c>
      <c r="F175" s="4">
        <v>2</v>
      </c>
      <c r="G175" s="5">
        <v>41513</v>
      </c>
      <c r="H175" s="5">
        <v>41845</v>
      </c>
    </row>
    <row r="176" spans="1:8" x14ac:dyDescent="0.25">
      <c r="A176" s="4" t="s">
        <v>1</v>
      </c>
      <c r="B176" s="4" t="str">
        <f>"RM-11705"</f>
        <v>RM-11705</v>
      </c>
      <c r="C176" s="8" t="str">
        <f>HYPERLINK("https://www.fcc.gov/ecfs/search/filings?proceedings_name=RM-11705&amp;sort=date_disseminated,DESC")</f>
        <v>https://www.fcc.gov/ecfs/search/filings?proceedings_name=RM-11705&amp;sort=date_disseminated,DESC</v>
      </c>
      <c r="D176" s="8" t="str">
        <f>HYPERLINK("https://apps.fcc.gov/edocs_public/Query.do?docket=RM-11705")</f>
        <v>https://apps.fcc.gov/edocs_public/Query.do?docket=RM-11705</v>
      </c>
      <c r="E176" s="4" t="s">
        <v>34</v>
      </c>
      <c r="F176" s="4">
        <v>3</v>
      </c>
      <c r="G176" s="5">
        <v>41520</v>
      </c>
      <c r="H176" s="5">
        <v>41761</v>
      </c>
    </row>
    <row r="177" spans="1:8" x14ac:dyDescent="0.25">
      <c r="A177" s="4" t="s">
        <v>1</v>
      </c>
      <c r="B177" s="4" t="str">
        <f>"RM-11706"</f>
        <v>RM-11706</v>
      </c>
      <c r="C177" s="8" t="str">
        <f>HYPERLINK("https://www.fcc.gov/ecfs/search/filings?proceedings_name=RM-11706&amp;sort=date_disseminated,DESC")</f>
        <v>https://www.fcc.gov/ecfs/search/filings?proceedings_name=RM-11706&amp;sort=date_disseminated,DESC</v>
      </c>
      <c r="D177" s="8" t="str">
        <f>HYPERLINK("https://apps.fcc.gov/edocs_public/Query.do?docket=RM-11706")</f>
        <v>https://apps.fcc.gov/edocs_public/Query.do?docket=RM-11706</v>
      </c>
      <c r="E177" s="4" t="s">
        <v>30</v>
      </c>
      <c r="F177" s="4">
        <v>2</v>
      </c>
      <c r="G177" s="5">
        <v>41520</v>
      </c>
      <c r="H177" s="5">
        <v>41682</v>
      </c>
    </row>
    <row r="178" spans="1:8" ht="30" x14ac:dyDescent="0.25">
      <c r="A178" s="4" t="s">
        <v>1</v>
      </c>
      <c r="B178" s="4" t="str">
        <f>"RM-11709"</f>
        <v>RM-11709</v>
      </c>
      <c r="C178" s="8" t="str">
        <f>HYPERLINK("https://www.fcc.gov/ecfs/search/filings?proceedings_name=RM-11709&amp;sort=date_disseminated,DESC")</f>
        <v>https://www.fcc.gov/ecfs/search/filings?proceedings_name=RM-11709&amp;sort=date_disseminated,DESC</v>
      </c>
      <c r="D178" s="8" t="str">
        <f>HYPERLINK("https://apps.fcc.gov/edocs_public/Query.do?docket=RM-11709")</f>
        <v>https://apps.fcc.gov/edocs_public/Query.do?docket=RM-11709</v>
      </c>
      <c r="E178" s="4" t="s">
        <v>27</v>
      </c>
      <c r="F178" s="4">
        <v>3</v>
      </c>
      <c r="G178" s="5">
        <v>41621</v>
      </c>
      <c r="H178" s="5">
        <v>41674</v>
      </c>
    </row>
    <row r="179" spans="1:8" x14ac:dyDescent="0.25">
      <c r="A179" s="4" t="s">
        <v>1</v>
      </c>
      <c r="B179" s="4" t="str">
        <f>"RM-11710"</f>
        <v>RM-11710</v>
      </c>
      <c r="C179" s="8" t="str">
        <f>HYPERLINK("https://www.fcc.gov/ecfs/search/filings?proceedings_name=RM-11710&amp;sort=date_disseminated,DESC")</f>
        <v>https://www.fcc.gov/ecfs/search/filings?proceedings_name=RM-11710&amp;sort=date_disseminated,DESC</v>
      </c>
      <c r="D179" s="8" t="str">
        <f>HYPERLINK("https://apps.fcc.gov/edocs_public/Query.do?docket=RM-11710")</f>
        <v>https://apps.fcc.gov/edocs_public/Query.do?docket=RM-11710</v>
      </c>
      <c r="E179" s="4" t="s">
        <v>24</v>
      </c>
      <c r="F179" s="4">
        <v>2</v>
      </c>
      <c r="G179" s="5">
        <v>41648</v>
      </c>
      <c r="H179" s="5">
        <v>41717</v>
      </c>
    </row>
    <row r="180" spans="1:8" x14ac:dyDescent="0.25">
      <c r="A180" s="4" t="s">
        <v>1</v>
      </c>
      <c r="B180" s="4" t="str">
        <f>"RM-11711"</f>
        <v>RM-11711</v>
      </c>
      <c r="C180" s="8" t="str">
        <f>HYPERLINK("https://www.fcc.gov/ecfs/search/filings?proceedings_name=RM-11711&amp;sort=date_disseminated,DESC")</f>
        <v>https://www.fcc.gov/ecfs/search/filings?proceedings_name=RM-11711&amp;sort=date_disseminated,DESC</v>
      </c>
      <c r="D180" s="8" t="str">
        <f>HYPERLINK("https://apps.fcc.gov/edocs_public/Query.do?docket=RM-11711")</f>
        <v>https://apps.fcc.gov/edocs_public/Query.do?docket=RM-11711</v>
      </c>
      <c r="E180" s="4" t="s">
        <v>23</v>
      </c>
      <c r="F180" s="4">
        <v>3</v>
      </c>
      <c r="G180" s="5">
        <v>41648</v>
      </c>
      <c r="H180" s="5">
        <v>41845</v>
      </c>
    </row>
    <row r="181" spans="1:8" x14ac:dyDescent="0.25">
      <c r="A181" s="4" t="s">
        <v>1</v>
      </c>
      <c r="B181" s="4" t="str">
        <f>"RM-11714"</f>
        <v>RM-11714</v>
      </c>
      <c r="C181" s="8" t="str">
        <f>HYPERLINK("https://www.fcc.gov/ecfs/search/filings?proceedings_name=RM-11714&amp;sort=date_disseminated,DESC")</f>
        <v>https://www.fcc.gov/ecfs/search/filings?proceedings_name=RM-11714&amp;sort=date_disseminated,DESC</v>
      </c>
      <c r="D181" s="8" t="str">
        <f>HYPERLINK("https://apps.fcc.gov/edocs_public/Query.do?docket=RM-11714")</f>
        <v>https://apps.fcc.gov/edocs_public/Query.do?docket=RM-11714</v>
      </c>
      <c r="E181" s="4" t="s">
        <v>18</v>
      </c>
      <c r="F181" s="4">
        <v>1</v>
      </c>
      <c r="G181" s="5">
        <v>41697</v>
      </c>
      <c r="H181" s="5">
        <v>41733</v>
      </c>
    </row>
    <row r="182" spans="1:8" ht="45" x14ac:dyDescent="0.25">
      <c r="A182" s="4" t="s">
        <v>125</v>
      </c>
      <c r="B182" s="4" t="str">
        <f>"09-229"</f>
        <v>09-229</v>
      </c>
      <c r="C182" s="8" t="str">
        <f>HYPERLINK("https://www.fcc.gov/ecfs/search/filings?proceedings_name=09-229&amp;sort=date_disseminated,DESC")</f>
        <v>https://www.fcc.gov/ecfs/search/filings?proceedings_name=09-229&amp;sort=date_disseminated,DESC</v>
      </c>
      <c r="D182" s="8" t="str">
        <f>HYPERLINK("https://apps.fcc.gov/edocs_public/Query.do?docket=09-229")</f>
        <v>https://apps.fcc.gov/edocs_public/Query.do?docket=09-229</v>
      </c>
      <c r="E182" s="4" t="s">
        <v>259</v>
      </c>
      <c r="F182" s="4">
        <v>8</v>
      </c>
      <c r="G182" s="5">
        <v>40164</v>
      </c>
      <c r="H182" s="5">
        <v>41340</v>
      </c>
    </row>
    <row r="183" spans="1:8" ht="45" x14ac:dyDescent="0.25">
      <c r="A183" s="4" t="s">
        <v>125</v>
      </c>
      <c r="B183" s="4" t="str">
        <f>"11-72"</f>
        <v>11-72</v>
      </c>
      <c r="C183" s="8" t="str">
        <f>HYPERLINK("https://www.fcc.gov/ecfs/search/filings?proceedings_name=11-72&amp;sort=date_disseminated,DESC")</f>
        <v>https://www.fcc.gov/ecfs/search/filings?proceedings_name=11-72&amp;sort=date_disseminated,DESC</v>
      </c>
      <c r="D183" s="8" t="str">
        <f>HYPERLINK("https://apps.fcc.gov/edocs_public/Query.do?docket=11-72")</f>
        <v>https://apps.fcc.gov/edocs_public/Query.do?docket=11-72</v>
      </c>
      <c r="E183" s="4" t="s">
        <v>260</v>
      </c>
      <c r="F183" s="4">
        <v>5</v>
      </c>
      <c r="G183" s="5">
        <v>40654</v>
      </c>
      <c r="H183" s="5">
        <v>41340</v>
      </c>
    </row>
    <row r="184" spans="1:8" ht="45" x14ac:dyDescent="0.25">
      <c r="A184" s="4" t="s">
        <v>0</v>
      </c>
      <c r="B184" s="4" t="str">
        <f>"00-11"</f>
        <v>00-11</v>
      </c>
      <c r="C184" s="8" t="str">
        <f>HYPERLINK("https://www.fcc.gov/ecfs/search/filings?proceedings_name=00-11&amp;sort=date_disseminated,DESC")</f>
        <v>https://www.fcc.gov/ecfs/search/filings?proceedings_name=00-11&amp;sort=date_disseminated,DESC</v>
      </c>
      <c r="D184" s="8" t="str">
        <f>HYPERLINK("https://apps.fcc.gov/edocs_public/Query.do?docket=00-11")</f>
        <v>https://apps.fcc.gov/edocs_public/Query.do?docket=00-11</v>
      </c>
      <c r="E184" s="4" t="s">
        <v>166</v>
      </c>
      <c r="F184" s="4">
        <v>49</v>
      </c>
      <c r="G184" s="5">
        <v>36539</v>
      </c>
      <c r="H184" s="5">
        <v>41374</v>
      </c>
    </row>
    <row r="185" spans="1:8" ht="60" x14ac:dyDescent="0.25">
      <c r="A185" s="4" t="s">
        <v>0</v>
      </c>
      <c r="B185" s="4" t="str">
        <f>"01-75"</f>
        <v>01-75</v>
      </c>
      <c r="C185" s="8" t="str">
        <f>HYPERLINK("https://www.fcc.gov/ecfs/search/filings?proceedings_name=01-75&amp;sort=date_disseminated,DESC")</f>
        <v>https://www.fcc.gov/ecfs/search/filings?proceedings_name=01-75&amp;sort=date_disseminated,DESC</v>
      </c>
      <c r="D185" s="8" t="str">
        <f>HYPERLINK("https://apps.fcc.gov/edocs_public/Query.do?docket=01-75")</f>
        <v>https://apps.fcc.gov/edocs_public/Query.do?docket=01-75</v>
      </c>
      <c r="E185" s="4" t="s">
        <v>261</v>
      </c>
      <c r="F185" s="4">
        <v>66</v>
      </c>
      <c r="G185" s="5">
        <v>36966</v>
      </c>
      <c r="H185" s="5">
        <v>40928</v>
      </c>
    </row>
    <row r="186" spans="1:8" ht="60" x14ac:dyDescent="0.25">
      <c r="A186" s="4" t="s">
        <v>0</v>
      </c>
      <c r="B186" s="4" t="str">
        <f>"07-257"</f>
        <v>07-257</v>
      </c>
      <c r="C186" s="8" t="str">
        <f>HYPERLINK("https://www.fcc.gov/ecfs/search/filings?proceedings_name=07-257&amp;sort=date_disseminated,DESC")</f>
        <v>https://www.fcc.gov/ecfs/search/filings?proceedings_name=07-257&amp;sort=date_disseminated,DESC</v>
      </c>
      <c r="D186" s="8" t="str">
        <f>HYPERLINK("https://apps.fcc.gov/edocs_public/Query.do?docket=07-257")</f>
        <v>https://apps.fcc.gov/edocs_public/Query.do?docket=07-257</v>
      </c>
      <c r="E186" s="4" t="s">
        <v>262</v>
      </c>
      <c r="F186" s="4">
        <v>26</v>
      </c>
      <c r="G186" s="5">
        <v>39400</v>
      </c>
      <c r="H186" s="5">
        <v>40105</v>
      </c>
    </row>
    <row r="187" spans="1:8" ht="15" customHeight="1" x14ac:dyDescent="0.25">
      <c r="A187" s="4" t="s">
        <v>0</v>
      </c>
      <c r="B187" s="4" t="str">
        <f>"07-27"</f>
        <v>07-27</v>
      </c>
      <c r="C187" s="8" t="str">
        <f>HYPERLINK("https://www.fcc.gov/ecfs/search/filings?proceedings_name=07-27&amp;sort=date_disseminated,DESC")</f>
        <v>https://www.fcc.gov/ecfs/search/filings?proceedings_name=07-27&amp;sort=date_disseminated,DESC</v>
      </c>
      <c r="D187" s="8" t="str">
        <f>HYPERLINK("https://apps.fcc.gov/edocs_public/Query.do?docket=07-27")</f>
        <v>https://apps.fcc.gov/edocs_public/Query.do?docket=07-27</v>
      </c>
      <c r="E187" s="4" t="s">
        <v>149</v>
      </c>
      <c r="F187" s="4">
        <v>19</v>
      </c>
      <c r="G187" s="5">
        <v>39129</v>
      </c>
      <c r="H187" s="5">
        <v>40067</v>
      </c>
    </row>
    <row r="188" spans="1:8" ht="60" x14ac:dyDescent="0.25">
      <c r="A188" s="4" t="s">
        <v>0</v>
      </c>
      <c r="B188" s="4" t="str">
        <f>"09-234"</f>
        <v>09-234</v>
      </c>
      <c r="C188" s="8" t="str">
        <f>HYPERLINK("https://www.fcc.gov/ecfs/search/filings?proceedings_name=09-234&amp;sort=date_disseminated,DESC")</f>
        <v>https://www.fcc.gov/ecfs/search/filings?proceedings_name=09-234&amp;sort=date_disseminated,DESC</v>
      </c>
      <c r="D188" s="8" t="str">
        <f>HYPERLINK("https://apps.fcc.gov/edocs_public/Query.do?docket=09-234")</f>
        <v>https://apps.fcc.gov/edocs_public/Query.do?docket=09-234</v>
      </c>
      <c r="E188" s="4" t="s">
        <v>263</v>
      </c>
      <c r="F188" s="4">
        <v>95</v>
      </c>
      <c r="G188" s="5">
        <v>40171</v>
      </c>
      <c r="H188" s="5">
        <v>41387</v>
      </c>
    </row>
    <row r="189" spans="1:8" ht="60" x14ac:dyDescent="0.25">
      <c r="A189" s="4" t="s">
        <v>0</v>
      </c>
      <c r="B189" s="4" t="str">
        <f>"09-38"</f>
        <v>09-38</v>
      </c>
      <c r="C189" s="8" t="str">
        <f>HYPERLINK("https://www.fcc.gov/ecfs/search/filings?proceedings_name=09-38&amp;sort=date_disseminated,DESC")</f>
        <v>https://www.fcc.gov/ecfs/search/filings?proceedings_name=09-38&amp;sort=date_disseminated,DESC</v>
      </c>
      <c r="D189" s="8" t="str">
        <f>HYPERLINK("https://apps.fcc.gov/edocs_public/Query.do?docket=09-38")</f>
        <v>https://apps.fcc.gov/edocs_public/Query.do?docket=09-38</v>
      </c>
      <c r="E189" s="4" t="s">
        <v>264</v>
      </c>
      <c r="F189" s="4">
        <v>32</v>
      </c>
      <c r="G189" s="5">
        <v>39895</v>
      </c>
      <c r="H189" s="5">
        <v>41078</v>
      </c>
    </row>
    <row r="190" spans="1:8" ht="30" x14ac:dyDescent="0.25">
      <c r="A190" s="4" t="s">
        <v>0</v>
      </c>
      <c r="B190" s="4" t="str">
        <f>"10-237"</f>
        <v>10-237</v>
      </c>
      <c r="C190" s="8" t="str">
        <f>HYPERLINK("https://www.fcc.gov/ecfs/search/filings?proceedings_name=10-237&amp;sort=date_disseminated,DESC")</f>
        <v>https://www.fcc.gov/ecfs/search/filings?proceedings_name=10-237&amp;sort=date_disseminated,DESC</v>
      </c>
      <c r="D190" s="8" t="str">
        <f>HYPERLINK("https://apps.fcc.gov/edocs_public/Query.do?docket=10-237")</f>
        <v>https://apps.fcc.gov/edocs_public/Query.do?docket=10-237</v>
      </c>
      <c r="E190" s="4" t="s">
        <v>265</v>
      </c>
      <c r="F190" s="4">
        <v>67</v>
      </c>
      <c r="G190" s="5">
        <v>40504</v>
      </c>
      <c r="H190" s="5">
        <v>41184</v>
      </c>
    </row>
    <row r="191" spans="1:8" ht="75" x14ac:dyDescent="0.25">
      <c r="A191" s="4" t="s">
        <v>0</v>
      </c>
      <c r="B191" s="4" t="str">
        <f>"10-253"</f>
        <v>10-253</v>
      </c>
      <c r="C191" s="8" t="str">
        <f>HYPERLINK("https://www.fcc.gov/ecfs/search/filings?proceedings_name=10-253&amp;sort=date_disseminated,DESC")</f>
        <v>https://www.fcc.gov/ecfs/search/filings?proceedings_name=10-253&amp;sort=date_disseminated,DESC</v>
      </c>
      <c r="D191" s="8" t="str">
        <f>HYPERLINK("https://apps.fcc.gov/edocs_public/Query.do?docket=10-253")</f>
        <v>https://apps.fcc.gov/edocs_public/Query.do?docket=10-253</v>
      </c>
      <c r="E191" s="4" t="s">
        <v>266</v>
      </c>
      <c r="F191" s="4">
        <v>6</v>
      </c>
      <c r="G191" s="5">
        <v>40529</v>
      </c>
      <c r="H191" s="5">
        <v>41095</v>
      </c>
    </row>
    <row r="192" spans="1:8" ht="45" x14ac:dyDescent="0.25">
      <c r="A192" s="4" t="s">
        <v>0</v>
      </c>
      <c r="B192" s="4" t="str">
        <f>"10-97"</f>
        <v>10-97</v>
      </c>
      <c r="C192" s="8" t="str">
        <f>HYPERLINK("https://www.fcc.gov/ecfs/search/filings?proceedings_name=10-97&amp;sort=date_disseminated,DESC")</f>
        <v>https://www.fcc.gov/ecfs/search/filings?proceedings_name=10-97&amp;sort=date_disseminated,DESC</v>
      </c>
      <c r="D192" s="8" t="str">
        <f>HYPERLINK("https://apps.fcc.gov/edocs_public/Query.do?docket=10-97")</f>
        <v>https://apps.fcc.gov/edocs_public/Query.do?docket=10-97</v>
      </c>
      <c r="E192" s="4" t="s">
        <v>267</v>
      </c>
      <c r="F192" s="4">
        <v>16</v>
      </c>
      <c r="G192" s="5">
        <v>40303</v>
      </c>
      <c r="H192" s="5">
        <v>41865</v>
      </c>
    </row>
    <row r="193" spans="1:8" ht="45" x14ac:dyDescent="0.25">
      <c r="A193" s="4" t="s">
        <v>0</v>
      </c>
      <c r="B193" s="4" t="str">
        <f>"11-123"</f>
        <v>11-123</v>
      </c>
      <c r="C193" s="8" t="str">
        <f>HYPERLINK("https://www.fcc.gov/ecfs/search/filings?proceedings_name=11-123&amp;sort=date_disseminated,DESC")</f>
        <v>https://www.fcc.gov/ecfs/search/filings?proceedings_name=11-123&amp;sort=date_disseminated,DESC</v>
      </c>
      <c r="D193" s="8" t="str">
        <f>HYPERLINK("https://apps.fcc.gov/edocs_public/Query.do?docket=11-123")</f>
        <v>https://apps.fcc.gov/edocs_public/Query.do?docket=11-123</v>
      </c>
      <c r="E193" s="4" t="s">
        <v>268</v>
      </c>
      <c r="F193" s="4">
        <v>5</v>
      </c>
      <c r="G193" s="5">
        <v>40743</v>
      </c>
      <c r="H193" s="5">
        <v>40886</v>
      </c>
    </row>
    <row r="194" spans="1:8" ht="45" x14ac:dyDescent="0.25">
      <c r="A194" s="4" t="s">
        <v>0</v>
      </c>
      <c r="B194" s="4" t="str">
        <f>"13-101"</f>
        <v>13-101</v>
      </c>
      <c r="C194" s="8" t="str">
        <f>HYPERLINK("https://www.fcc.gov/ecfs/search/filings?proceedings_name=13-101&amp;sort=date_disseminated,DESC")</f>
        <v>https://www.fcc.gov/ecfs/search/filings?proceedings_name=13-101&amp;sort=date_disseminated,DESC</v>
      </c>
      <c r="D194" s="8" t="str">
        <f>HYPERLINK("https://apps.fcc.gov/edocs_public/Query.do?docket=13-101")</f>
        <v>https://apps.fcc.gov/edocs_public/Query.do?docket=13-101</v>
      </c>
      <c r="E194" s="4" t="s">
        <v>52</v>
      </c>
      <c r="F194" s="4">
        <v>28</v>
      </c>
      <c r="G194" s="5">
        <v>41383</v>
      </c>
      <c r="H194" s="5">
        <v>41626</v>
      </c>
    </row>
    <row r="195" spans="1:8" ht="30" x14ac:dyDescent="0.25">
      <c r="A195" s="4" t="s">
        <v>0</v>
      </c>
      <c r="B195" s="4" t="str">
        <f>"13-208"</f>
        <v>13-208</v>
      </c>
      <c r="C195" s="8" t="str">
        <f>HYPERLINK("https://www.fcc.gov/ecfs/search/filings?proceedings_name=13-208&amp;sort=date_disseminated,DESC")</f>
        <v>https://www.fcc.gov/ecfs/search/filings?proceedings_name=13-208&amp;sort=date_disseminated,DESC</v>
      </c>
      <c r="D195" s="8" t="str">
        <f>HYPERLINK("https://apps.fcc.gov/edocs_public/Query.do?docket=13-208")</f>
        <v>https://apps.fcc.gov/edocs_public/Query.do?docket=13-208</v>
      </c>
      <c r="E195" s="4" t="s">
        <v>35</v>
      </c>
      <c r="F195" s="4">
        <v>8</v>
      </c>
      <c r="G195" s="5">
        <v>41509</v>
      </c>
      <c r="H195" s="5">
        <v>41905</v>
      </c>
    </row>
    <row r="196" spans="1:8" ht="30" x14ac:dyDescent="0.25">
      <c r="A196" s="4" t="s">
        <v>0</v>
      </c>
      <c r="B196" s="4" t="str">
        <f>"13-36"</f>
        <v>13-36</v>
      </c>
      <c r="C196" s="8" t="str">
        <f>HYPERLINK("https://www.fcc.gov/ecfs/search/filings?proceedings_name=13-36&amp;sort=date_disseminated,DESC")</f>
        <v>https://www.fcc.gov/ecfs/search/filings?proceedings_name=13-36&amp;sort=date_disseminated,DESC</v>
      </c>
      <c r="D196" s="8" t="str">
        <f>HYPERLINK("https://apps.fcc.gov/edocs_public/Query.do?docket=13-36")</f>
        <v>https://apps.fcc.gov/edocs_public/Query.do?docket=13-36</v>
      </c>
      <c r="E196" s="4" t="s">
        <v>68</v>
      </c>
      <c r="F196" s="4">
        <v>150</v>
      </c>
      <c r="G196" s="5">
        <v>41306</v>
      </c>
      <c r="H196" s="5">
        <v>41771</v>
      </c>
    </row>
    <row r="197" spans="1:8" ht="75" x14ac:dyDescent="0.25">
      <c r="A197" s="4" t="s">
        <v>0</v>
      </c>
      <c r="B197" s="4" t="str">
        <f>"13-81"</f>
        <v>13-81</v>
      </c>
      <c r="C197" s="8" t="str">
        <f>HYPERLINK("https://www.fcc.gov/ecfs/search/filings?proceedings_name=13-81&amp;sort=date_disseminated,DESC")</f>
        <v>https://www.fcc.gov/ecfs/search/filings?proceedings_name=13-81&amp;sort=date_disseminated,DESC</v>
      </c>
      <c r="D197" s="8" t="str">
        <f>HYPERLINK("https://apps.fcc.gov/edocs_public/Query.do?docket=13-81")</f>
        <v>https://apps.fcc.gov/edocs_public/Query.do?docket=13-81</v>
      </c>
      <c r="E197" s="4" t="s">
        <v>55</v>
      </c>
      <c r="F197" s="4">
        <v>12</v>
      </c>
      <c r="G197" s="5">
        <v>41358</v>
      </c>
      <c r="H197" s="5">
        <v>41533</v>
      </c>
    </row>
    <row r="198" spans="1:8" ht="45" x14ac:dyDescent="0.25">
      <c r="A198" s="4" t="s">
        <v>0</v>
      </c>
      <c r="B198" s="4" t="str">
        <f>"95-18"</f>
        <v>95-18</v>
      </c>
      <c r="C198" s="8" t="str">
        <f>HYPERLINK("https://www.fcc.gov/ecfs/search/filings?proceedings_name=95-18&amp;sort=date_disseminated,DESC")</f>
        <v>https://www.fcc.gov/ecfs/search/filings?proceedings_name=95-18&amp;sort=date_disseminated,DESC</v>
      </c>
      <c r="D198" s="8" t="str">
        <f>HYPERLINK("https://apps.fcc.gov/edocs_public/Query.do?docket=95-18")</f>
        <v>https://apps.fcc.gov/edocs_public/Query.do?docket=95-18</v>
      </c>
      <c r="E198" s="4" t="s">
        <v>181</v>
      </c>
      <c r="F198" s="4">
        <v>1266</v>
      </c>
      <c r="G198" s="5">
        <v>34730</v>
      </c>
      <c r="H198" s="5">
        <v>40822</v>
      </c>
    </row>
    <row r="199" spans="1:8" ht="75" x14ac:dyDescent="0.25">
      <c r="A199" s="4" t="s">
        <v>0</v>
      </c>
      <c r="B199" s="4" t="str">
        <f>"98-95"</f>
        <v>98-95</v>
      </c>
      <c r="C199" s="8" t="str">
        <f>HYPERLINK("https://www.fcc.gov/ecfs/search/filings?proceedings_name=98-95&amp;sort=date_disseminated,DESC")</f>
        <v>https://www.fcc.gov/ecfs/search/filings?proceedings_name=98-95&amp;sort=date_disseminated,DESC</v>
      </c>
      <c r="D199" s="8" t="str">
        <f>HYPERLINK("https://apps.fcc.gov/edocs_public/Query.do?docket=98-95")</f>
        <v>https://apps.fcc.gov/edocs_public/Query.do?docket=98-95</v>
      </c>
      <c r="E199" s="4" t="s">
        <v>175</v>
      </c>
      <c r="F199" s="4">
        <v>157</v>
      </c>
      <c r="G199" s="5">
        <v>35958</v>
      </c>
      <c r="H199" s="5">
        <v>41121</v>
      </c>
    </row>
    <row r="200" spans="1:8" ht="30" x14ac:dyDescent="0.25">
      <c r="A200" s="4" t="s">
        <v>0</v>
      </c>
      <c r="B200" s="4" t="str">
        <f>"99-254"</f>
        <v>99-254</v>
      </c>
      <c r="C200" s="8" t="str">
        <f>HYPERLINK("https://www.fcc.gov/ecfs/search/filings?proceedings_name=99-254&amp;sort=date_disseminated,DESC")</f>
        <v>https://www.fcc.gov/ecfs/search/filings?proceedings_name=99-254&amp;sort=date_disseminated,DESC</v>
      </c>
      <c r="D200" s="8" t="str">
        <f>HYPERLINK("https://apps.fcc.gov/edocs_public/Query.do?docket=99-254")</f>
        <v>https://apps.fcc.gov/edocs_public/Query.do?docket=99-254</v>
      </c>
      <c r="E200" s="4" t="s">
        <v>168</v>
      </c>
      <c r="F200" s="4">
        <v>119</v>
      </c>
      <c r="G200" s="5">
        <v>36355</v>
      </c>
      <c r="H200" s="5">
        <v>41680</v>
      </c>
    </row>
    <row r="201" spans="1:8" ht="30" x14ac:dyDescent="0.25">
      <c r="A201" s="4" t="s">
        <v>0</v>
      </c>
      <c r="B201" s="4" t="str">
        <f>"RM-10743"</f>
        <v>RM-10743</v>
      </c>
      <c r="C201" s="8" t="str">
        <f>HYPERLINK("https://www.fcc.gov/ecfs/search/filings?proceedings_name=RM-10743&amp;sort=date_disseminated,DESC")</f>
        <v>https://www.fcc.gov/ecfs/search/filings?proceedings_name=RM-10743&amp;sort=date_disseminated,DESC</v>
      </c>
      <c r="D201" s="8" t="str">
        <f>HYPERLINK("https://apps.fcc.gov/edocs_public/Query.do?docket=RM-10743")</f>
        <v>https://apps.fcc.gov/edocs_public/Query.do?docket=RM-10743</v>
      </c>
      <c r="E201" s="4" t="s">
        <v>152</v>
      </c>
      <c r="F201" s="4">
        <v>60</v>
      </c>
      <c r="G201" s="5">
        <v>37797</v>
      </c>
      <c r="H201" s="5">
        <v>40927</v>
      </c>
    </row>
    <row r="202" spans="1:8" x14ac:dyDescent="0.25">
      <c r="A202" s="4" t="s">
        <v>0</v>
      </c>
      <c r="B202" s="4" t="str">
        <f>"RM-11485"</f>
        <v>RM-11485</v>
      </c>
      <c r="C202" s="8" t="str">
        <f>HYPERLINK("https://www.fcc.gov/ecfs/search/filings?proceedings_name=RM-11485&amp;sort=date_disseminated,DESC")</f>
        <v>https://www.fcc.gov/ecfs/search/filings?proceedings_name=RM-11485&amp;sort=date_disseminated,DESC</v>
      </c>
      <c r="D202" s="8" t="str">
        <f>HYPERLINK("https://apps.fcc.gov/edocs_public/Query.do?docket=RM-11485")</f>
        <v>https://apps.fcc.gov/edocs_public/Query.do?docket=RM-11485</v>
      </c>
      <c r="E202" s="4" t="s">
        <v>143</v>
      </c>
      <c r="F202" s="4">
        <v>24</v>
      </c>
      <c r="G202" s="5">
        <v>39689</v>
      </c>
      <c r="H202" s="5">
        <v>40835</v>
      </c>
    </row>
    <row r="203" spans="1:8" x14ac:dyDescent="0.25">
      <c r="A203" s="4" t="s">
        <v>0</v>
      </c>
      <c r="B203" s="4" t="str">
        <f>"RM-11523"</f>
        <v>RM-11523</v>
      </c>
      <c r="C203" s="8" t="str">
        <f>HYPERLINK("https://www.fcc.gov/ecfs/search/filings?proceedings_name=RM-11523&amp;sort=date_disseminated,DESC")</f>
        <v>https://www.fcc.gov/ecfs/search/filings?proceedings_name=RM-11523&amp;sort=date_disseminated,DESC</v>
      </c>
      <c r="D203" s="8" t="str">
        <f>HYPERLINK("https://apps.fcc.gov/edocs_public/Query.do?docket=RM-11523")</f>
        <v>https://apps.fcc.gov/edocs_public/Query.do?docket=RM-11523</v>
      </c>
      <c r="E203" s="4" t="s">
        <v>138</v>
      </c>
      <c r="F203" s="4">
        <v>22</v>
      </c>
      <c r="G203" s="5">
        <v>39895</v>
      </c>
      <c r="H203" s="5">
        <v>41078</v>
      </c>
    </row>
    <row r="204" spans="1:8" x14ac:dyDescent="0.25">
      <c r="A204" s="4" t="s">
        <v>0</v>
      </c>
      <c r="B204" s="4" t="str">
        <f>"RM-11527"</f>
        <v>RM-11527</v>
      </c>
      <c r="C204" s="8" t="str">
        <f>HYPERLINK("https://www.fcc.gov/ecfs/search/filings?proceedings_name=RM-11527&amp;sort=date_disseminated,DESC")</f>
        <v>https://www.fcc.gov/ecfs/search/filings?proceedings_name=RM-11527&amp;sort=date_disseminated,DESC</v>
      </c>
      <c r="D204" s="8" t="str">
        <f>HYPERLINK("https://apps.fcc.gov/edocs_public/Query.do?docket=RM-11527")</f>
        <v>https://apps.fcc.gov/edocs_public/Query.do?docket=RM-11527</v>
      </c>
      <c r="E204" s="4" t="s">
        <v>137</v>
      </c>
      <c r="F204" s="4">
        <v>29</v>
      </c>
      <c r="G204" s="5">
        <v>39906</v>
      </c>
      <c r="H204" s="5">
        <v>41031</v>
      </c>
    </row>
    <row r="205" spans="1:8" ht="30" x14ac:dyDescent="0.25">
      <c r="A205" s="4" t="s">
        <v>117</v>
      </c>
      <c r="B205" s="4" t="str">
        <f>"11-199"</f>
        <v>11-199</v>
      </c>
      <c r="C205" s="8" t="str">
        <f>HYPERLINK("https://www.fcc.gov/ecfs/search/filings?proceedings_name=11-199&amp;sort=date_disseminated,DESC")</f>
        <v>https://www.fcc.gov/ecfs/search/filings?proceedings_name=11-199&amp;sort=date_disseminated,DESC</v>
      </c>
      <c r="D205" s="8" t="str">
        <f>HYPERLINK("https://apps.fcc.gov/edocs_public/Query.do?docket=11-199")</f>
        <v>https://apps.fcc.gov/edocs_public/Query.do?docket=11-199</v>
      </c>
      <c r="E205" s="4" t="s">
        <v>269</v>
      </c>
      <c r="F205" s="4">
        <v>6</v>
      </c>
      <c r="G205" s="5">
        <v>40886</v>
      </c>
      <c r="H205" s="5">
        <v>41047</v>
      </c>
    </row>
    <row r="206" spans="1:8" x14ac:dyDescent="0.25">
      <c r="A206" s="4" t="s">
        <v>184</v>
      </c>
      <c r="B206" s="4" t="str">
        <f>"91-199"</f>
        <v>91-199</v>
      </c>
      <c r="C206" s="8" t="str">
        <f>HYPERLINK("https://www.fcc.gov/ecfs/search/filings?proceedings_name=91-199&amp;sort=date_disseminated,DESC")</f>
        <v>https://www.fcc.gov/ecfs/search/filings?proceedings_name=91-199&amp;sort=date_disseminated,DESC</v>
      </c>
      <c r="D206" s="8" t="str">
        <f>HYPERLINK("https://apps.fcc.gov/edocs_public/Query.do?docket=91-199")</f>
        <v>https://apps.fcc.gov/edocs_public/Query.do?docket=91-199</v>
      </c>
      <c r="E206" s="4" t="s">
        <v>210</v>
      </c>
      <c r="F206" s="4">
        <v>5</v>
      </c>
      <c r="G206" s="5">
        <v>33533</v>
      </c>
      <c r="H206" s="5">
        <v>41471</v>
      </c>
    </row>
    <row r="207" spans="1:8" x14ac:dyDescent="0.25">
      <c r="A207" s="4" t="s">
        <v>184</v>
      </c>
      <c r="B207" s="4" t="str">
        <f>"92-1"</f>
        <v>92-1</v>
      </c>
      <c r="C207" s="8" t="str">
        <f>HYPERLINK("https://www.fcc.gov/ecfs/search/filings?proceedings_name=92-1&amp;sort=date_disseminated,DESC")</f>
        <v>https://www.fcc.gov/ecfs/search/filings?proceedings_name=92-1&amp;sort=date_disseminated,DESC</v>
      </c>
      <c r="D207" s="8" t="str">
        <f>HYPERLINK("https://apps.fcc.gov/edocs_public/Query.do?docket=92-1")</f>
        <v>https://apps.fcc.gov/edocs_public/Query.do?docket=92-1</v>
      </c>
      <c r="E207" s="4" t="s">
        <v>211</v>
      </c>
      <c r="F207" s="4">
        <v>5</v>
      </c>
      <c r="G207" s="5">
        <v>33533</v>
      </c>
      <c r="H207" s="5">
        <v>39982</v>
      </c>
    </row>
    <row r="208" spans="1:8" ht="15" customHeight="1" x14ac:dyDescent="0.25">
      <c r="A208" s="4" t="s">
        <v>184</v>
      </c>
      <c r="B208" s="4" t="str">
        <f>"92-171"</f>
        <v>92-171</v>
      </c>
      <c r="C208" s="8" t="str">
        <f>HYPERLINK("https://www.fcc.gov/ecfs/search/filings?proceedings_name=92-171&amp;sort=date_disseminated,DESC")</f>
        <v>https://www.fcc.gov/ecfs/search/filings?proceedings_name=92-171&amp;sort=date_disseminated,DESC</v>
      </c>
      <c r="D208" s="8" t="str">
        <f>HYPERLINK("https://apps.fcc.gov/edocs_public/Query.do?docket=92-171")</f>
        <v>https://apps.fcc.gov/edocs_public/Query.do?docket=92-171</v>
      </c>
      <c r="E208" s="4" t="s">
        <v>200</v>
      </c>
      <c r="F208" s="4">
        <v>6</v>
      </c>
      <c r="G208" s="5">
        <v>33820</v>
      </c>
      <c r="H208" s="5">
        <v>39990</v>
      </c>
    </row>
    <row r="209" spans="1:8" ht="30" x14ac:dyDescent="0.25">
      <c r="A209" s="4" t="s">
        <v>184</v>
      </c>
      <c r="B209" s="4" t="str">
        <f>"92-257"</f>
        <v>92-257</v>
      </c>
      <c r="C209" s="8" t="str">
        <f>HYPERLINK("https://www.fcc.gov/ecfs/search/filings?proceedings_name=92-257&amp;sort=date_disseminated,DESC")</f>
        <v>https://www.fcc.gov/ecfs/search/filings?proceedings_name=92-257&amp;sort=date_disseminated,DESC</v>
      </c>
      <c r="D209" s="8" t="str">
        <f>HYPERLINK("https://apps.fcc.gov/edocs_public/Query.do?docket=92-257")</f>
        <v>https://apps.fcc.gov/edocs_public/Query.do?docket=92-257</v>
      </c>
      <c r="E209" s="4" t="s">
        <v>198</v>
      </c>
      <c r="F209" s="4">
        <v>360</v>
      </c>
      <c r="G209" s="5">
        <v>33935</v>
      </c>
      <c r="H209" s="5">
        <v>41415</v>
      </c>
    </row>
    <row r="210" spans="1:8" ht="15" customHeight="1" x14ac:dyDescent="0.25">
      <c r="A210" s="4" t="s">
        <v>184</v>
      </c>
      <c r="B210" s="4" t="str">
        <f>"92-268"</f>
        <v>92-268</v>
      </c>
      <c r="C210" s="8" t="str">
        <f>HYPERLINK("https://www.fcc.gov/ecfs/search/filings?proceedings_name=92-268&amp;sort=date_disseminated,DESC")</f>
        <v>https://www.fcc.gov/ecfs/search/filings?proceedings_name=92-268&amp;sort=date_disseminated,DESC</v>
      </c>
      <c r="D210" s="8" t="str">
        <f>HYPERLINK("https://apps.fcc.gov/edocs_public/Query.do?docket=92-268")</f>
        <v>https://apps.fcc.gov/edocs_public/Query.do?docket=92-268</v>
      </c>
      <c r="E210" s="4" t="s">
        <v>199</v>
      </c>
      <c r="F210" s="4">
        <v>12</v>
      </c>
      <c r="G210" s="5">
        <v>33918</v>
      </c>
      <c r="H210" s="5">
        <v>39990</v>
      </c>
    </row>
    <row r="211" spans="1:8" x14ac:dyDescent="0.25">
      <c r="A211" s="4" t="s">
        <v>184</v>
      </c>
      <c r="B211" s="4" t="str">
        <f>"92-286"</f>
        <v>92-286</v>
      </c>
      <c r="C211" s="8" t="str">
        <f>HYPERLINK("https://www.fcc.gov/ecfs/search/filings?proceedings_name=92-286&amp;sort=date_disseminated,DESC")</f>
        <v>https://www.fcc.gov/ecfs/search/filings?proceedings_name=92-286&amp;sort=date_disseminated,DESC</v>
      </c>
      <c r="D211" s="8" t="str">
        <f>HYPERLINK("https://apps.fcc.gov/edocs_public/Query.do?docket=92-286")</f>
        <v>https://apps.fcc.gov/edocs_public/Query.do?docket=92-286</v>
      </c>
      <c r="E211" s="4" t="s">
        <v>197</v>
      </c>
      <c r="F211" s="4">
        <v>5</v>
      </c>
      <c r="G211" s="5">
        <v>33938</v>
      </c>
      <c r="H211" s="5">
        <v>38622</v>
      </c>
    </row>
    <row r="212" spans="1:8" ht="15" customHeight="1" x14ac:dyDescent="0.25">
      <c r="A212" s="4" t="s">
        <v>184</v>
      </c>
      <c r="B212" s="4" t="str">
        <f>"93-105"</f>
        <v>93-105</v>
      </c>
      <c r="C212" s="8" t="str">
        <f>HYPERLINK("https://www.fcc.gov/ecfs/search/filings?proceedings_name=93-105&amp;sort=date_disseminated,DESC")</f>
        <v>https://www.fcc.gov/ecfs/search/filings?proceedings_name=93-105&amp;sort=date_disseminated,DESC</v>
      </c>
      <c r="D212" s="8" t="str">
        <f>HYPERLINK("https://apps.fcc.gov/edocs_public/Query.do?docket=93-105")</f>
        <v>https://apps.fcc.gov/edocs_public/Query.do?docket=93-105</v>
      </c>
      <c r="E212" s="4" t="s">
        <v>188</v>
      </c>
      <c r="F212" s="4">
        <v>5</v>
      </c>
      <c r="G212" s="5">
        <v>34071</v>
      </c>
      <c r="H212" s="5">
        <v>36013</v>
      </c>
    </row>
    <row r="213" spans="1:8" ht="15" customHeight="1" x14ac:dyDescent="0.25">
      <c r="A213" s="4" t="s">
        <v>184</v>
      </c>
      <c r="B213" s="4" t="str">
        <f>"93-130"</f>
        <v>93-130</v>
      </c>
      <c r="C213" s="8" t="str">
        <f>HYPERLINK("https://www.fcc.gov/ecfs/search/filings?proceedings_name=93-130&amp;sort=date_disseminated,DESC")</f>
        <v>https://www.fcc.gov/ecfs/search/filings?proceedings_name=93-130&amp;sort=date_disseminated,DESC</v>
      </c>
      <c r="D213" s="8" t="str">
        <f>HYPERLINK("https://apps.fcc.gov/edocs_public/Query.do?docket=93-130")</f>
        <v>https://apps.fcc.gov/edocs_public/Query.do?docket=93-130</v>
      </c>
      <c r="E213" s="4" t="s">
        <v>186</v>
      </c>
      <c r="F213" s="4">
        <v>9</v>
      </c>
      <c r="G213" s="5">
        <v>34095</v>
      </c>
      <c r="H213" s="5">
        <v>40046</v>
      </c>
    </row>
    <row r="214" spans="1:8" x14ac:dyDescent="0.25">
      <c r="A214" s="4" t="s">
        <v>184</v>
      </c>
      <c r="B214" s="4" t="str">
        <f>"93-132"</f>
        <v>93-132</v>
      </c>
      <c r="C214" s="8" t="str">
        <f>HYPERLINK("https://www.fcc.gov/ecfs/search/filings?proceedings_name=93-132&amp;sort=date_disseminated,DESC")</f>
        <v>https://www.fcc.gov/ecfs/search/filings?proceedings_name=93-132&amp;sort=date_disseminated,DESC</v>
      </c>
      <c r="D214" s="8" t="str">
        <f>HYPERLINK("https://apps.fcc.gov/edocs_public/Query.do?docket=93-132")</f>
        <v>https://apps.fcc.gov/edocs_public/Query.do?docket=93-132</v>
      </c>
      <c r="E214" s="4" t="s">
        <v>187</v>
      </c>
      <c r="F214" s="4">
        <v>5</v>
      </c>
      <c r="G214" s="5">
        <v>34095</v>
      </c>
      <c r="H214" s="5">
        <v>39099</v>
      </c>
    </row>
    <row r="215" spans="1:8" ht="15" customHeight="1" x14ac:dyDescent="0.25">
      <c r="A215" s="4" t="s">
        <v>184</v>
      </c>
      <c r="B215" s="4" t="str">
        <f>"93-150"</f>
        <v>93-150</v>
      </c>
      <c r="C215" s="8" t="str">
        <f>HYPERLINK("https://www.fcc.gov/ecfs/search/filings?proceedings_name=93-150&amp;sort=date_disseminated,DESC")</f>
        <v>https://www.fcc.gov/ecfs/search/filings?proceedings_name=93-150&amp;sort=date_disseminated,DESC</v>
      </c>
      <c r="D215" s="8" t="str">
        <f>HYPERLINK("https://apps.fcc.gov/edocs_public/Query.do?docket=93-150")</f>
        <v>https://apps.fcc.gov/edocs_public/Query.do?docket=93-150</v>
      </c>
      <c r="E215" s="4" t="s">
        <v>185</v>
      </c>
      <c r="F215" s="4">
        <v>6</v>
      </c>
      <c r="G215" s="5">
        <v>34145</v>
      </c>
      <c r="H215" s="5">
        <v>39990</v>
      </c>
    </row>
    <row r="216" spans="1:8" x14ac:dyDescent="0.25">
      <c r="A216" s="4" t="s">
        <v>184</v>
      </c>
      <c r="B216" s="4" t="str">
        <f>"93-3"</f>
        <v>93-3</v>
      </c>
      <c r="C216" s="8" t="str">
        <f>HYPERLINK("https://www.fcc.gov/ecfs/search/filings?proceedings_name=93-3&amp;sort=date_disseminated,DESC")</f>
        <v>https://www.fcc.gov/ecfs/search/filings?proceedings_name=93-3&amp;sort=date_disseminated,DESC</v>
      </c>
      <c r="D216" s="8" t="str">
        <f>HYPERLINK("https://apps.fcc.gov/edocs_public/Query.do?docket=93-3")</f>
        <v>https://apps.fcc.gov/edocs_public/Query.do?docket=93-3</v>
      </c>
      <c r="E216" s="4" t="s">
        <v>195</v>
      </c>
      <c r="F216" s="4">
        <v>5</v>
      </c>
      <c r="G216" s="5">
        <v>33983</v>
      </c>
      <c r="H216" s="5">
        <v>40210</v>
      </c>
    </row>
    <row r="217" spans="1:8" ht="15" customHeight="1" x14ac:dyDescent="0.25">
      <c r="A217" s="4" t="s">
        <v>184</v>
      </c>
      <c r="B217" s="4" t="str">
        <f>"93-57"</f>
        <v>93-57</v>
      </c>
      <c r="C217" s="8" t="str">
        <f>HYPERLINK("https://www.fcc.gov/ecfs/search/filings?proceedings_name=93-57&amp;sort=date_disseminated,DESC")</f>
        <v>https://www.fcc.gov/ecfs/search/filings?proceedings_name=93-57&amp;sort=date_disseminated,DESC</v>
      </c>
      <c r="D217" s="8" t="str">
        <f>HYPERLINK("https://apps.fcc.gov/edocs_public/Query.do?docket=93-57")</f>
        <v>https://apps.fcc.gov/edocs_public/Query.do?docket=93-57</v>
      </c>
      <c r="E217" s="4" t="s">
        <v>194</v>
      </c>
      <c r="F217" s="4">
        <v>6</v>
      </c>
      <c r="G217" s="5">
        <v>34044</v>
      </c>
      <c r="H217" s="5">
        <v>39990</v>
      </c>
    </row>
    <row r="218" spans="1:8" x14ac:dyDescent="0.25">
      <c r="A218" s="4" t="s">
        <v>184</v>
      </c>
      <c r="B218" s="4" t="str">
        <f>"93-77"</f>
        <v>93-77</v>
      </c>
      <c r="C218" s="8" t="str">
        <f>HYPERLINK("https://www.fcc.gov/ecfs/search/filings?proceedings_name=93-77&amp;sort=date_disseminated,DESC")</f>
        <v>https://www.fcc.gov/ecfs/search/filings?proceedings_name=93-77&amp;sort=date_disseminated,DESC</v>
      </c>
      <c r="D218" s="8" t="str">
        <f>HYPERLINK("https://apps.fcc.gov/edocs_public/Query.do?docket=93-77")</f>
        <v>https://apps.fcc.gov/edocs_public/Query.do?docket=93-77</v>
      </c>
      <c r="E218" s="4" t="s">
        <v>192</v>
      </c>
      <c r="F218" s="4">
        <v>5</v>
      </c>
      <c r="G218" s="5">
        <v>34052</v>
      </c>
      <c r="H218" s="5">
        <v>39920</v>
      </c>
    </row>
    <row r="219" spans="1:8" x14ac:dyDescent="0.25">
      <c r="A219" s="4" t="s">
        <v>184</v>
      </c>
      <c r="B219" s="4" t="str">
        <f>"93-79"</f>
        <v>93-79</v>
      </c>
      <c r="C219" s="8" t="str">
        <f>HYPERLINK("https://www.fcc.gov/ecfs/search/filings?proceedings_name=93-79&amp;sort=date_disseminated,DESC")</f>
        <v>https://www.fcc.gov/ecfs/search/filings?proceedings_name=93-79&amp;sort=date_disseminated,DESC</v>
      </c>
      <c r="D219" s="8" t="str">
        <f>HYPERLINK("https://apps.fcc.gov/edocs_public/Query.do?docket=93-79")</f>
        <v>https://apps.fcc.gov/edocs_public/Query.do?docket=93-79</v>
      </c>
      <c r="E219" s="4" t="s">
        <v>193</v>
      </c>
      <c r="F219" s="4">
        <v>8</v>
      </c>
      <c r="G219" s="5">
        <v>34050</v>
      </c>
      <c r="H219" s="5">
        <v>39990</v>
      </c>
    </row>
    <row r="220" spans="1:8" x14ac:dyDescent="0.25">
      <c r="A220" s="4" t="s">
        <v>184</v>
      </c>
      <c r="B220" s="4" t="str">
        <f>"93-81"</f>
        <v>93-81</v>
      </c>
      <c r="C220" s="8" t="str">
        <f>HYPERLINK("https://www.fcc.gov/ecfs/search/filings?proceedings_name=93-81&amp;sort=date_disseminated,DESC")</f>
        <v>https://www.fcc.gov/ecfs/search/filings?proceedings_name=93-81&amp;sort=date_disseminated,DESC</v>
      </c>
      <c r="D220" s="8" t="str">
        <f>HYPERLINK("https://apps.fcc.gov/edocs_public/Query.do?docket=93-81")</f>
        <v>https://apps.fcc.gov/edocs_public/Query.do?docket=93-81</v>
      </c>
      <c r="E220" s="4" t="s">
        <v>190</v>
      </c>
      <c r="F220" s="4">
        <v>4</v>
      </c>
      <c r="G220" s="5">
        <v>34052</v>
      </c>
      <c r="H220" s="5">
        <v>36013</v>
      </c>
    </row>
    <row r="221" spans="1:8" x14ac:dyDescent="0.25">
      <c r="A221" s="4" t="s">
        <v>184</v>
      </c>
      <c r="B221" s="4" t="str">
        <f>"93-82"</f>
        <v>93-82</v>
      </c>
      <c r="C221" s="8" t="str">
        <f>HYPERLINK("https://www.fcc.gov/ecfs/search/filings?proceedings_name=93-82&amp;sort=date_disseminated,DESC")</f>
        <v>https://www.fcc.gov/ecfs/search/filings?proceedings_name=93-82&amp;sort=date_disseminated,DESC</v>
      </c>
      <c r="D221" s="8" t="str">
        <f>HYPERLINK("https://apps.fcc.gov/edocs_public/Query.do?docket=93-82")</f>
        <v>https://apps.fcc.gov/edocs_public/Query.do?docket=93-82</v>
      </c>
      <c r="E221" s="4" t="s">
        <v>191</v>
      </c>
      <c r="F221" s="4">
        <v>9</v>
      </c>
      <c r="G221" s="5">
        <v>34052</v>
      </c>
      <c r="H221" s="5">
        <v>41795</v>
      </c>
    </row>
    <row r="222" spans="1:8" x14ac:dyDescent="0.25">
      <c r="A222" s="4" t="s">
        <v>184</v>
      </c>
      <c r="B222" s="4" t="str">
        <f>"93-86"</f>
        <v>93-86</v>
      </c>
      <c r="C222" s="8" t="str">
        <f>HYPERLINK("https://www.fcc.gov/ecfs/search/filings?proceedings_name=93-86&amp;sort=date_disseminated,DESC")</f>
        <v>https://www.fcc.gov/ecfs/search/filings?proceedings_name=93-86&amp;sort=date_disseminated,DESC</v>
      </c>
      <c r="D222" s="8" t="str">
        <f>HYPERLINK("https://apps.fcc.gov/edocs_public/Query.do?docket=93-86")</f>
        <v>https://apps.fcc.gov/edocs_public/Query.do?docket=93-86</v>
      </c>
      <c r="E222" s="4" t="s">
        <v>189</v>
      </c>
      <c r="F222" s="4">
        <v>4</v>
      </c>
      <c r="G222" s="5">
        <v>34054</v>
      </c>
      <c r="H222" s="5">
        <v>36013</v>
      </c>
    </row>
    <row r="223" spans="1:8" ht="45" x14ac:dyDescent="0.25">
      <c r="A223" s="4" t="s">
        <v>4</v>
      </c>
      <c r="B223" s="4" t="str">
        <f>"10-168"</f>
        <v>10-168</v>
      </c>
      <c r="C223" s="8" t="str">
        <f>HYPERLINK("https://www.fcc.gov/ecfs/search/filings?proceedings_name=10-168&amp;sort=date_disseminated,DESC")</f>
        <v>https://www.fcc.gov/ecfs/search/filings?proceedings_name=10-168&amp;sort=date_disseminated,DESC</v>
      </c>
      <c r="D223" s="8" t="str">
        <f>HYPERLINK("https://apps.fcc.gov/edocs_public/Query.do?docket=10-168")</f>
        <v>https://apps.fcc.gov/edocs_public/Query.do?docket=10-168</v>
      </c>
      <c r="E223" s="4" t="s">
        <v>270</v>
      </c>
      <c r="F223" s="4">
        <v>33</v>
      </c>
      <c r="G223" s="5">
        <v>40413</v>
      </c>
      <c r="H223" s="5">
        <v>40470</v>
      </c>
    </row>
    <row r="224" spans="1:8" ht="45" x14ac:dyDescent="0.25">
      <c r="A224" s="4" t="s">
        <v>4</v>
      </c>
      <c r="B224" s="4" t="str">
        <f>"10-270"</f>
        <v>10-270</v>
      </c>
      <c r="C224" s="8" t="str">
        <f>HYPERLINK("https://www.fcc.gov/ecfs/search/filings?proceedings_name=10-270&amp;sort=date_disseminated,DESC")</f>
        <v>https://www.fcc.gov/ecfs/search/filings?proceedings_name=10-270&amp;sort=date_disseminated,DESC</v>
      </c>
      <c r="D224" s="8" t="str">
        <f>HYPERLINK("https://apps.fcc.gov/edocs_public/Query.do?docket=10-270")</f>
        <v>https://apps.fcc.gov/edocs_public/Query.do?docket=10-270</v>
      </c>
      <c r="E224" s="4" t="s">
        <v>271</v>
      </c>
      <c r="F224" s="4">
        <v>12</v>
      </c>
      <c r="G224" s="5">
        <v>40542</v>
      </c>
      <c r="H224" s="5">
        <v>41423</v>
      </c>
    </row>
    <row r="225" spans="1:8" ht="30" x14ac:dyDescent="0.25">
      <c r="A225" s="4" t="s">
        <v>4</v>
      </c>
      <c r="B225" s="4" t="str">
        <f>"13-31"</f>
        <v>13-31</v>
      </c>
      <c r="C225" s="8" t="str">
        <f>HYPERLINK("https://www.fcc.gov/ecfs/search/filings?proceedings_name=13-31&amp;sort=date_disseminated,DESC")</f>
        <v>https://www.fcc.gov/ecfs/search/filings?proceedings_name=13-31&amp;sort=date_disseminated,DESC</v>
      </c>
      <c r="D225" s="8" t="str">
        <f>HYPERLINK("https://apps.fcc.gov/edocs_public/Query.do?docket=13-31")</f>
        <v>https://apps.fcc.gov/edocs_public/Query.do?docket=13-31</v>
      </c>
      <c r="E225" s="4" t="s">
        <v>68</v>
      </c>
      <c r="F225" s="4">
        <v>5</v>
      </c>
      <c r="G225" s="5">
        <v>41305</v>
      </c>
      <c r="H225" s="5">
        <v>41492</v>
      </c>
    </row>
    <row r="226" spans="1:8" x14ac:dyDescent="0.25">
      <c r="A226" s="4" t="s">
        <v>4</v>
      </c>
      <c r="B226" s="4" t="str">
        <f>"14-108"</f>
        <v>14-108</v>
      </c>
      <c r="C226" s="8" t="str">
        <f>HYPERLINK("https://www.fcc.gov/ecfs/search/filings?proceedings_name=14-108&amp;sort=date_disseminated,DESC")</f>
        <v>https://www.fcc.gov/ecfs/search/filings?proceedings_name=14-108&amp;sort=date_disseminated,DESC</v>
      </c>
      <c r="D226" s="8" t="str">
        <f>HYPERLINK("https://apps.fcc.gov/edocs_public/Query.do?docket=14-108")</f>
        <v>https://apps.fcc.gov/edocs_public/Query.do?docket=14-108</v>
      </c>
      <c r="E226" s="4" t="s">
        <v>9</v>
      </c>
      <c r="F226" s="4">
        <v>3</v>
      </c>
      <c r="G226" s="5">
        <v>41837</v>
      </c>
      <c r="H226" s="5">
        <v>41848</v>
      </c>
    </row>
    <row r="227" spans="1:8" ht="15" customHeight="1" x14ac:dyDescent="0.25">
      <c r="A227" s="4" t="s">
        <v>4</v>
      </c>
      <c r="B227" s="4" t="str">
        <f>"RM-11588"</f>
        <v>RM-11588</v>
      </c>
      <c r="C227" s="8" t="str">
        <f>HYPERLINK("https://www.fcc.gov/ecfs/search/filings?proceedings_name=RM-11588&amp;sort=date_disseminated,DESC")</f>
        <v>https://www.fcc.gov/ecfs/search/filings?proceedings_name=RM-11588&amp;sort=date_disseminated,DESC</v>
      </c>
      <c r="D227" s="8" t="str">
        <f>HYPERLINK("https://apps.fcc.gov/edocs_public/Query.do?docket=RM-11588")</f>
        <v>https://apps.fcc.gov/edocs_public/Query.do?docket=RM-11588</v>
      </c>
      <c r="E227" s="4" t="s">
        <v>131</v>
      </c>
      <c r="F227" s="4">
        <v>13</v>
      </c>
      <c r="G227" s="5">
        <v>40185</v>
      </c>
      <c r="H227" s="5">
        <v>41299</v>
      </c>
    </row>
    <row r="228" spans="1:8" ht="45" x14ac:dyDescent="0.25">
      <c r="A228" s="4" t="s">
        <v>2</v>
      </c>
      <c r="B228" s="4" t="str">
        <f>"01-90"</f>
        <v>01-90</v>
      </c>
      <c r="C228" s="8" t="str">
        <f>HYPERLINK("https://www.fcc.gov/ecfs/search/filings?proceedings_name=01-90&amp;sort=date_disseminated,DESC")</f>
        <v>https://www.fcc.gov/ecfs/search/filings?proceedings_name=01-90&amp;sort=date_disseminated,DESC</v>
      </c>
      <c r="D228" s="8" t="str">
        <f>HYPERLINK("https://apps.fcc.gov/edocs_public/Query.do?docket=01-90")</f>
        <v>https://apps.fcc.gov/edocs_public/Query.do?docket=01-90</v>
      </c>
      <c r="E228" s="4" t="s">
        <v>162</v>
      </c>
      <c r="F228" s="4">
        <v>152</v>
      </c>
      <c r="G228" s="5">
        <v>36993</v>
      </c>
      <c r="H228" s="5">
        <v>41121</v>
      </c>
    </row>
    <row r="229" spans="1:8" ht="30" x14ac:dyDescent="0.25">
      <c r="A229" s="4" t="s">
        <v>2</v>
      </c>
      <c r="B229" s="4" t="str">
        <f>"02-146"</f>
        <v>02-146</v>
      </c>
      <c r="C229" s="8" t="str">
        <f>HYPERLINK("https://www.fcc.gov/ecfs/search/filings?proceedings_name=02-146&amp;sort=date_disseminated,DESC")</f>
        <v>https://www.fcc.gov/ecfs/search/filings?proceedings_name=02-146&amp;sort=date_disseminated,DESC</v>
      </c>
      <c r="D229" s="8" t="str">
        <f>HYPERLINK("https://apps.fcc.gov/edocs_public/Query.do?docket=02-146")</f>
        <v>https://apps.fcc.gov/edocs_public/Query.do?docket=02-146</v>
      </c>
      <c r="E229" s="4" t="s">
        <v>156</v>
      </c>
      <c r="F229" s="4">
        <v>98</v>
      </c>
      <c r="G229" s="5">
        <v>37421</v>
      </c>
      <c r="H229" s="5">
        <v>38448</v>
      </c>
    </row>
    <row r="230" spans="1:8" ht="45" x14ac:dyDescent="0.25">
      <c r="A230" s="4" t="s">
        <v>2</v>
      </c>
      <c r="B230" s="4" t="str">
        <f>"02-68"</f>
        <v>02-68</v>
      </c>
      <c r="C230" s="8" t="str">
        <f>HYPERLINK("https://www.fcc.gov/ecfs/search/filings?proceedings_name=02-68&amp;sort=date_disseminated,DESC")</f>
        <v>https://www.fcc.gov/ecfs/search/filings?proceedings_name=02-68&amp;sort=date_disseminated,DESC</v>
      </c>
      <c r="D230" s="8" t="str">
        <f>HYPERLINK("https://apps.fcc.gov/edocs_public/Query.do?docket=02-68")</f>
        <v>https://apps.fcc.gov/edocs_public/Query.do?docket=02-68</v>
      </c>
      <c r="E230" s="4" t="s">
        <v>157</v>
      </c>
      <c r="F230" s="4">
        <v>176</v>
      </c>
      <c r="G230" s="5">
        <v>37343</v>
      </c>
      <c r="H230" s="5">
        <v>41227</v>
      </c>
    </row>
    <row r="231" spans="1:8" ht="30" x14ac:dyDescent="0.25">
      <c r="A231" s="4" t="s">
        <v>2</v>
      </c>
      <c r="B231" s="4" t="str">
        <f>"03-103"</f>
        <v>03-103</v>
      </c>
      <c r="C231" s="8" t="str">
        <f>HYPERLINK("https://www.fcc.gov/ecfs/search/filings?proceedings_name=03-103&amp;sort=date_disseminated,DESC")</f>
        <v>https://www.fcc.gov/ecfs/search/filings?proceedings_name=03-103&amp;sort=date_disseminated,DESC</v>
      </c>
      <c r="D231" s="8" t="str">
        <f>HYPERLINK("https://apps.fcc.gov/edocs_public/Query.do?docket=03-103")</f>
        <v>https://apps.fcc.gov/edocs_public/Query.do?docket=03-103</v>
      </c>
      <c r="E231" s="4" t="s">
        <v>272</v>
      </c>
      <c r="F231" s="4">
        <v>283</v>
      </c>
      <c r="G231" s="5">
        <v>37747</v>
      </c>
      <c r="H231" s="5">
        <v>40666</v>
      </c>
    </row>
    <row r="232" spans="1:8" ht="60" x14ac:dyDescent="0.25">
      <c r="A232" s="4" t="s">
        <v>2</v>
      </c>
      <c r="B232" s="4" t="str">
        <f>"03-202"</f>
        <v>03-202</v>
      </c>
      <c r="C232" s="8" t="str">
        <f>HYPERLINK("https://www.fcc.gov/ecfs/search/filings?proceedings_name=03-202&amp;sort=date_disseminated,DESC")</f>
        <v>https://www.fcc.gov/ecfs/search/filings?proceedings_name=03-202&amp;sort=date_disseminated,DESC</v>
      </c>
      <c r="D232" s="8" t="str">
        <f>HYPERLINK("https://apps.fcc.gov/edocs_public/Query.do?docket=03-202")</f>
        <v>https://apps.fcc.gov/edocs_public/Query.do?docket=03-202</v>
      </c>
      <c r="E232" s="4" t="s">
        <v>150</v>
      </c>
      <c r="F232" s="4">
        <v>128</v>
      </c>
      <c r="G232" s="5">
        <v>37874</v>
      </c>
      <c r="H232" s="5">
        <v>40574</v>
      </c>
    </row>
    <row r="233" spans="1:8" ht="45" x14ac:dyDescent="0.25">
      <c r="A233" s="4" t="s">
        <v>2</v>
      </c>
      <c r="B233" s="4" t="str">
        <f>"03-264"</f>
        <v>03-264</v>
      </c>
      <c r="C233" s="8" t="str">
        <f>HYPERLINK("https://www.fcc.gov/ecfs/search/filings?proceedings_name=03-264&amp;sort=date_disseminated,DESC")</f>
        <v>https://www.fcc.gov/ecfs/search/filings?proceedings_name=03-264&amp;sort=date_disseminated,DESC</v>
      </c>
      <c r="D233" s="8" t="str">
        <f>HYPERLINK("https://apps.fcc.gov/edocs_public/Query.do?docket=03-264")</f>
        <v>https://apps.fcc.gov/edocs_public/Query.do?docket=03-264</v>
      </c>
      <c r="E233" s="4" t="s">
        <v>273</v>
      </c>
      <c r="F233" s="4">
        <v>267</v>
      </c>
      <c r="G233" s="5">
        <v>37985</v>
      </c>
      <c r="H233" s="5">
        <v>41768</v>
      </c>
    </row>
    <row r="234" spans="1:8" x14ac:dyDescent="0.25">
      <c r="A234" s="4" t="s">
        <v>2</v>
      </c>
      <c r="B234" s="4" t="str">
        <f>"03-76"</f>
        <v>03-76</v>
      </c>
      <c r="C234" s="8" t="str">
        <f>HYPERLINK("https://www.fcc.gov/ecfs/search/filings?proceedings_name=03-76&amp;sort=date_disseminated,DESC")</f>
        <v>https://www.fcc.gov/ecfs/search/filings?proceedings_name=03-76&amp;sort=date_disseminated,DESC</v>
      </c>
      <c r="D234" s="8" t="str">
        <f>HYPERLINK("https://apps.fcc.gov/edocs_public/Query.do?docket=03-76")</f>
        <v>https://apps.fcc.gov/edocs_public/Query.do?docket=03-76</v>
      </c>
      <c r="E234" s="4" t="s">
        <v>154</v>
      </c>
      <c r="F234" s="4">
        <v>39</v>
      </c>
      <c r="G234" s="5">
        <v>37698</v>
      </c>
      <c r="H234" s="5">
        <v>41674</v>
      </c>
    </row>
    <row r="235" spans="1:8" ht="60" x14ac:dyDescent="0.25">
      <c r="A235" s="4" t="s">
        <v>2</v>
      </c>
      <c r="B235" s="4" t="str">
        <f>"05-302"</f>
        <v>05-302</v>
      </c>
      <c r="C235" s="8" t="str">
        <f>HYPERLINK("https://www.fcc.gov/ecfs/search/filings?proceedings_name=05-302&amp;sort=date_disseminated,DESC")</f>
        <v>https://www.fcc.gov/ecfs/search/filings?proceedings_name=05-302&amp;sort=date_disseminated,DESC</v>
      </c>
      <c r="D235" s="8" t="str">
        <f>HYPERLINK("https://apps.fcc.gov/edocs_public/Query.do?docket=05-302")</f>
        <v>https://apps.fcc.gov/edocs_public/Query.do?docket=05-302</v>
      </c>
      <c r="E235" s="4" t="s">
        <v>274</v>
      </c>
      <c r="F235" s="4">
        <v>23</v>
      </c>
      <c r="G235" s="5">
        <v>38646</v>
      </c>
      <c r="H235" s="5">
        <v>40805</v>
      </c>
    </row>
    <row r="236" spans="1:8" ht="30" x14ac:dyDescent="0.25">
      <c r="A236" s="4" t="s">
        <v>2</v>
      </c>
      <c r="B236" s="4" t="str">
        <f>"05-50"</f>
        <v>05-50</v>
      </c>
      <c r="C236" s="8" t="str">
        <f>HYPERLINK("https://www.fcc.gov/ecfs/search/filings?proceedings_name=05-50&amp;sort=date_disseminated,DESC")</f>
        <v>https://www.fcc.gov/ecfs/search/filings?proceedings_name=05-50&amp;sort=date_disseminated,DESC</v>
      </c>
      <c r="D236" s="8" t="str">
        <f>HYPERLINK("https://apps.fcc.gov/edocs_public/Query.do?docket=05-50")</f>
        <v>https://apps.fcc.gov/edocs_public/Query.do?docket=05-50</v>
      </c>
      <c r="E236" s="4" t="s">
        <v>275</v>
      </c>
      <c r="F236" s="4">
        <v>84</v>
      </c>
      <c r="G236" s="5">
        <v>38391</v>
      </c>
      <c r="H236" s="5">
        <v>40758</v>
      </c>
    </row>
    <row r="237" spans="1:8" ht="75" x14ac:dyDescent="0.25">
      <c r="A237" s="4" t="s">
        <v>2</v>
      </c>
      <c r="B237" s="4" t="str">
        <f>"05-62"</f>
        <v>05-62</v>
      </c>
      <c r="C237" s="8" t="str">
        <f>HYPERLINK("https://www.fcc.gov/ecfs/search/filings?proceedings_name=05-62&amp;sort=date_disseminated,DESC")</f>
        <v>https://www.fcc.gov/ecfs/search/filings?proceedings_name=05-62&amp;sort=date_disseminated,DESC</v>
      </c>
      <c r="D237" s="8" t="str">
        <f>HYPERLINK("https://apps.fcc.gov/edocs_public/Query.do?docket=05-62")</f>
        <v>https://apps.fcc.gov/edocs_public/Query.do?docket=05-62</v>
      </c>
      <c r="E237" s="4" t="s">
        <v>325</v>
      </c>
      <c r="F237" s="4">
        <v>100</v>
      </c>
      <c r="G237" s="5">
        <v>38397</v>
      </c>
      <c r="H237" s="5">
        <v>41691</v>
      </c>
    </row>
    <row r="238" spans="1:8" ht="60" x14ac:dyDescent="0.25">
      <c r="A238" s="4" t="s">
        <v>2</v>
      </c>
      <c r="B238" s="4" t="str">
        <f>"06-113"</f>
        <v>06-113</v>
      </c>
      <c r="C238" s="8" t="str">
        <f>HYPERLINK("https://www.fcc.gov/ecfs/search/filings?proceedings_name=06-113&amp;sort=date_disseminated,DESC")</f>
        <v>https://www.fcc.gov/ecfs/search/filings?proceedings_name=06-113&amp;sort=date_disseminated,DESC</v>
      </c>
      <c r="D238" s="8" t="str">
        <f>HYPERLINK("https://apps.fcc.gov/edocs_public/Query.do?docket=06-113")</f>
        <v>https://apps.fcc.gov/edocs_public/Query.do?docket=06-113</v>
      </c>
      <c r="E238" s="4" t="s">
        <v>326</v>
      </c>
      <c r="F238" s="4">
        <v>112</v>
      </c>
      <c r="G238" s="5">
        <v>38883</v>
      </c>
      <c r="H238" s="5">
        <v>41285</v>
      </c>
    </row>
    <row r="239" spans="1:8" ht="30" x14ac:dyDescent="0.25">
      <c r="A239" s="4" t="s">
        <v>2</v>
      </c>
      <c r="B239" s="4" t="str">
        <f>"06-156"</f>
        <v>06-156</v>
      </c>
      <c r="C239" s="8" t="str">
        <f>HYPERLINK("https://www.fcc.gov/ecfs/search/filings?proceedings_name=06-156&amp;sort=date_disseminated,DESC")</f>
        <v>https://www.fcc.gov/ecfs/search/filings?proceedings_name=06-156&amp;sort=date_disseminated,DESC</v>
      </c>
      <c r="D239" s="8" t="str">
        <f>HYPERLINK("https://apps.fcc.gov/edocs_public/Query.do?docket=06-156")</f>
        <v>https://apps.fcc.gov/edocs_public/Query.do?docket=06-156</v>
      </c>
      <c r="E239" s="4" t="s">
        <v>276</v>
      </c>
      <c r="F239" s="4">
        <v>4</v>
      </c>
      <c r="G239" s="5">
        <v>38933</v>
      </c>
      <c r="H239" s="5">
        <v>40574</v>
      </c>
    </row>
    <row r="240" spans="1:8" ht="45" x14ac:dyDescent="0.25">
      <c r="A240" s="4" t="s">
        <v>2</v>
      </c>
      <c r="B240" s="4" t="str">
        <f>"06-169"</f>
        <v>06-169</v>
      </c>
      <c r="C240" s="8" t="str">
        <f>HYPERLINK("https://www.fcc.gov/ecfs/search/filings?proceedings_name=06-169&amp;sort=date_disseminated,DESC")</f>
        <v>https://www.fcc.gov/ecfs/search/filings?proceedings_name=06-169&amp;sort=date_disseminated,DESC</v>
      </c>
      <c r="D240" s="8" t="str">
        <f>HYPERLINK("https://apps.fcc.gov/edocs_public/Query.do?docket=06-169")</f>
        <v>https://apps.fcc.gov/edocs_public/Query.do?docket=06-169</v>
      </c>
      <c r="E240" s="4" t="s">
        <v>277</v>
      </c>
      <c r="F240" s="4">
        <v>717</v>
      </c>
      <c r="G240" s="5">
        <v>38968</v>
      </c>
      <c r="H240" s="5">
        <v>41457</v>
      </c>
    </row>
    <row r="241" spans="1:8" ht="30" x14ac:dyDescent="0.25">
      <c r="A241" s="4" t="s">
        <v>2</v>
      </c>
      <c r="B241" s="4" t="str">
        <f>"07-166"</f>
        <v>07-166</v>
      </c>
      <c r="C241" s="8" t="str">
        <f>HYPERLINK("https://www.fcc.gov/ecfs/search/filings?proceedings_name=07-166&amp;sort=date_disseminated,DESC")</f>
        <v>https://www.fcc.gov/ecfs/search/filings?proceedings_name=07-166&amp;sort=date_disseminated,DESC</v>
      </c>
      <c r="D241" s="8" t="str">
        <f>HYPERLINK("https://apps.fcc.gov/edocs_public/Query.do?docket=07-166")</f>
        <v>https://apps.fcc.gov/edocs_public/Query.do?docket=07-166</v>
      </c>
      <c r="E241" s="4" t="s">
        <v>278</v>
      </c>
      <c r="F241" s="4">
        <v>39</v>
      </c>
      <c r="G241" s="5">
        <v>39300</v>
      </c>
      <c r="H241" s="5">
        <v>41470</v>
      </c>
    </row>
    <row r="242" spans="1:8" ht="60" x14ac:dyDescent="0.25">
      <c r="A242" s="4" t="s">
        <v>2</v>
      </c>
      <c r="B242" s="4" t="str">
        <f>"07-255"</f>
        <v>07-255</v>
      </c>
      <c r="C242" s="8" t="str">
        <f>HYPERLINK("https://www.fcc.gov/ecfs/search/filings?proceedings_name=07-255&amp;sort=date_disseminated,DESC")</f>
        <v>https://www.fcc.gov/ecfs/search/filings?proceedings_name=07-255&amp;sort=date_disseminated,DESC</v>
      </c>
      <c r="D242" s="8" t="str">
        <f>HYPERLINK("https://apps.fcc.gov/edocs_public/Query.do?docket=07-255")</f>
        <v>https://apps.fcc.gov/edocs_public/Query.do?docket=07-255</v>
      </c>
      <c r="E242" s="4" t="s">
        <v>279</v>
      </c>
      <c r="F242" s="4">
        <v>21</v>
      </c>
      <c r="G242" s="5">
        <v>39395</v>
      </c>
      <c r="H242" s="5">
        <v>40359</v>
      </c>
    </row>
    <row r="243" spans="1:8" ht="60" x14ac:dyDescent="0.25">
      <c r="A243" s="4" t="s">
        <v>2</v>
      </c>
      <c r="B243" s="4" t="str">
        <f>"08-211"</f>
        <v>08-211</v>
      </c>
      <c r="C243" s="8" t="str">
        <f>HYPERLINK("https://www.fcc.gov/ecfs/search/filings?proceedings_name=08-211&amp;sort=date_disseminated,DESC")</f>
        <v>https://www.fcc.gov/ecfs/search/filings?proceedings_name=08-211&amp;sort=date_disseminated,DESC</v>
      </c>
      <c r="D243" s="8" t="str">
        <f>HYPERLINK("https://apps.fcc.gov/edocs_public/Query.do?docket=08-211")</f>
        <v>https://apps.fcc.gov/edocs_public/Query.do?docket=08-211</v>
      </c>
      <c r="E243" s="4" t="s">
        <v>280</v>
      </c>
      <c r="F243" s="4">
        <v>3</v>
      </c>
      <c r="G243" s="5">
        <v>39727</v>
      </c>
      <c r="H243" s="5">
        <v>41150</v>
      </c>
    </row>
    <row r="244" spans="1:8" ht="45" x14ac:dyDescent="0.25">
      <c r="A244" s="4" t="s">
        <v>2</v>
      </c>
      <c r="B244" s="4" t="str">
        <f>"09-217"</f>
        <v>09-217</v>
      </c>
      <c r="C244" s="8" t="str">
        <f>HYPERLINK("https://www.fcc.gov/ecfs/search/filings?proceedings_name=09-217&amp;sort=date_disseminated,DESC")</f>
        <v>https://www.fcc.gov/ecfs/search/filings?proceedings_name=09-217&amp;sort=date_disseminated,DESC</v>
      </c>
      <c r="D244" s="8" t="str">
        <f>HYPERLINK("https://apps.fcc.gov/edocs_public/Query.do?docket=09-217")</f>
        <v>https://apps.fcc.gov/edocs_public/Query.do?docket=09-217</v>
      </c>
      <c r="E244" s="4" t="s">
        <v>281</v>
      </c>
      <c r="F244" s="4">
        <v>24</v>
      </c>
      <c r="G244" s="5">
        <v>40150</v>
      </c>
      <c r="H244" s="5">
        <v>40574</v>
      </c>
    </row>
    <row r="245" spans="1:8" ht="60" x14ac:dyDescent="0.25">
      <c r="A245" s="4" t="s">
        <v>2</v>
      </c>
      <c r="B245" s="4" t="str">
        <f>"09-64"</f>
        <v>09-64</v>
      </c>
      <c r="C245" s="8" t="str">
        <f>HYPERLINK("https://www.fcc.gov/ecfs/search/filings?proceedings_name=09-64&amp;sort=date_disseminated,DESC")</f>
        <v>https://www.fcc.gov/ecfs/search/filings?proceedings_name=09-64&amp;sort=date_disseminated,DESC</v>
      </c>
      <c r="D245" s="8" t="str">
        <f>HYPERLINK("https://apps.fcc.gov/edocs_public/Query.do?docket=09-64")</f>
        <v>https://apps.fcc.gov/edocs_public/Query.do?docket=09-64</v>
      </c>
      <c r="E245" s="4" t="s">
        <v>282</v>
      </c>
      <c r="F245" s="4">
        <v>5</v>
      </c>
      <c r="G245" s="5">
        <v>39947</v>
      </c>
      <c r="H245" s="5">
        <v>40368</v>
      </c>
    </row>
    <row r="246" spans="1:8" ht="75" x14ac:dyDescent="0.25">
      <c r="A246" s="4" t="s">
        <v>2</v>
      </c>
      <c r="B246" s="4" t="str">
        <f>"10-187"</f>
        <v>10-187</v>
      </c>
      <c r="C246" s="8" t="str">
        <f>HYPERLINK("https://www.fcc.gov/ecfs/search/filings?proceedings_name=10-187&amp;sort=date_disseminated,DESC")</f>
        <v>https://www.fcc.gov/ecfs/search/filings?proceedings_name=10-187&amp;sort=date_disseminated,DESC</v>
      </c>
      <c r="D246" s="8" t="str">
        <f>HYPERLINK("https://apps.fcc.gov/edocs_public/Query.do?docket=10-187")</f>
        <v>https://apps.fcc.gov/edocs_public/Query.do?docket=10-187</v>
      </c>
      <c r="E246" s="4" t="s">
        <v>283</v>
      </c>
      <c r="F246" s="4">
        <v>9</v>
      </c>
      <c r="G246" s="5">
        <v>40435</v>
      </c>
      <c r="H246" s="5">
        <v>40795</v>
      </c>
    </row>
    <row r="247" spans="1:8" ht="45" x14ac:dyDescent="0.25">
      <c r="A247" s="4" t="s">
        <v>2</v>
      </c>
      <c r="B247" s="4" t="str">
        <f>"10-271"</f>
        <v>10-271</v>
      </c>
      <c r="C247" s="8" t="str">
        <f>HYPERLINK("https://www.fcc.gov/ecfs/search/filings?proceedings_name=10-271&amp;sort=date_disseminated,DESC")</f>
        <v>https://www.fcc.gov/ecfs/search/filings?proceedings_name=10-271&amp;sort=date_disseminated,DESC</v>
      </c>
      <c r="D247" s="8" t="str">
        <f>HYPERLINK("https://apps.fcc.gov/edocs_public/Query.do?docket=10-271")</f>
        <v>https://apps.fcc.gov/edocs_public/Query.do?docket=10-271</v>
      </c>
      <c r="E247" s="4" t="s">
        <v>271</v>
      </c>
      <c r="F247" s="4">
        <v>6</v>
      </c>
      <c r="G247" s="5">
        <v>40542</v>
      </c>
      <c r="H247" s="5">
        <v>40597</v>
      </c>
    </row>
    <row r="248" spans="1:8" ht="45" x14ac:dyDescent="0.25">
      <c r="A248" s="4" t="s">
        <v>2</v>
      </c>
      <c r="B248" s="4" t="str">
        <f>"11-124"</f>
        <v>11-124</v>
      </c>
      <c r="C248" s="8" t="str">
        <f>HYPERLINK("https://www.fcc.gov/ecfs/search/filings?proceedings_name=11-124&amp;sort=date_disseminated,DESC")</f>
        <v>https://www.fcc.gov/ecfs/search/filings?proceedings_name=11-124&amp;sort=date_disseminated,DESC</v>
      </c>
      <c r="D248" s="8" t="str">
        <f>HYPERLINK("https://apps.fcc.gov/edocs_public/Query.do?docket=11-124")</f>
        <v>https://apps.fcc.gov/edocs_public/Query.do?docket=11-124</v>
      </c>
      <c r="E248" s="4" t="s">
        <v>284</v>
      </c>
      <c r="F248" s="4">
        <v>7</v>
      </c>
      <c r="G248" s="5">
        <v>40745</v>
      </c>
      <c r="H248" s="5">
        <v>41544</v>
      </c>
    </row>
    <row r="249" spans="1:8" ht="45" x14ac:dyDescent="0.25">
      <c r="A249" s="4" t="s">
        <v>2</v>
      </c>
      <c r="B249" s="4" t="str">
        <f>"11-22"</f>
        <v>11-22</v>
      </c>
      <c r="C249" s="8" t="str">
        <f>HYPERLINK("https://www.fcc.gov/ecfs/search/filings?proceedings_name=11-22&amp;sort=date_disseminated,DESC")</f>
        <v>https://www.fcc.gov/ecfs/search/filings?proceedings_name=11-22&amp;sort=date_disseminated,DESC</v>
      </c>
      <c r="D249" s="8" t="str">
        <f>HYPERLINK("https://apps.fcc.gov/edocs_public/Query.do?docket=11-22")</f>
        <v>https://apps.fcc.gov/edocs_public/Query.do?docket=11-22</v>
      </c>
      <c r="E249" s="4" t="s">
        <v>285</v>
      </c>
      <c r="F249" s="4">
        <v>22</v>
      </c>
      <c r="G249" s="5">
        <v>40585</v>
      </c>
      <c r="H249" s="5">
        <v>40603</v>
      </c>
    </row>
    <row r="250" spans="1:8" ht="30" x14ac:dyDescent="0.25">
      <c r="A250" s="4" t="s">
        <v>2</v>
      </c>
      <c r="B250" s="4" t="str">
        <f>"12-156"</f>
        <v>12-156</v>
      </c>
      <c r="C250" s="8" t="str">
        <f>HYPERLINK("https://www.fcc.gov/ecfs/search/filings?proceedings_name=12-156&amp;sort=date_disseminated,DESC")</f>
        <v>https://www.fcc.gov/ecfs/search/filings?proceedings_name=12-156&amp;sort=date_disseminated,DESC</v>
      </c>
      <c r="D250" s="8" t="str">
        <f>HYPERLINK("https://apps.fcc.gov/edocs_public/Query.do?docket=12-156")</f>
        <v>https://apps.fcc.gov/edocs_public/Query.do?docket=12-156</v>
      </c>
      <c r="E250" s="4" t="s">
        <v>95</v>
      </c>
      <c r="F250" s="4">
        <v>7</v>
      </c>
      <c r="G250" s="5">
        <v>41079</v>
      </c>
      <c r="H250" s="5">
        <v>41233</v>
      </c>
    </row>
    <row r="251" spans="1:8" ht="30" x14ac:dyDescent="0.25">
      <c r="A251" s="4" t="s">
        <v>2</v>
      </c>
      <c r="B251" s="4" t="str">
        <f>"12-301"</f>
        <v>12-301</v>
      </c>
      <c r="C251" s="8" t="str">
        <f>HYPERLINK("https://www.fcc.gov/ecfs/search/filings?proceedings_name=12-301&amp;sort=date_disseminated,DESC")</f>
        <v>https://www.fcc.gov/ecfs/search/filings?proceedings_name=12-301&amp;sort=date_disseminated,DESC</v>
      </c>
      <c r="D251" s="8" t="str">
        <f>HYPERLINK("https://apps.fcc.gov/edocs_public/Query.do?docket=12-301")</f>
        <v>https://apps.fcc.gov/edocs_public/Query.do?docket=12-301</v>
      </c>
      <c r="E251" s="4" t="s">
        <v>286</v>
      </c>
      <c r="F251" s="4">
        <v>129</v>
      </c>
      <c r="G251" s="5">
        <v>41198</v>
      </c>
      <c r="H251" s="5">
        <v>41367</v>
      </c>
    </row>
    <row r="252" spans="1:8" ht="45" x14ac:dyDescent="0.25">
      <c r="A252" s="4" t="s">
        <v>2</v>
      </c>
      <c r="B252" s="4" t="str">
        <f>"12-339"</f>
        <v>12-339</v>
      </c>
      <c r="C252" s="8" t="str">
        <f>HYPERLINK("https://www.fcc.gov/ecfs/search/filings?proceedings_name=12-339&amp;sort=date_disseminated,DESC")</f>
        <v>https://www.fcc.gov/ecfs/search/filings?proceedings_name=12-339&amp;sort=date_disseminated,DESC</v>
      </c>
      <c r="D252" s="8" t="str">
        <f>HYPERLINK("https://apps.fcc.gov/edocs_public/Query.do?docket=12-339")</f>
        <v>https://apps.fcc.gov/edocs_public/Query.do?docket=12-339</v>
      </c>
      <c r="E252" s="4" t="s">
        <v>74</v>
      </c>
      <c r="F252" s="4">
        <v>3</v>
      </c>
      <c r="G252" s="5">
        <v>41229</v>
      </c>
      <c r="H252" s="5">
        <v>41247</v>
      </c>
    </row>
    <row r="253" spans="1:8" ht="45" x14ac:dyDescent="0.25">
      <c r="A253" s="4" t="s">
        <v>2</v>
      </c>
      <c r="B253" s="4" t="str">
        <f>"12-50"</f>
        <v>12-50</v>
      </c>
      <c r="C253" s="8" t="str">
        <f>HYPERLINK("https://www.fcc.gov/ecfs/search/filings?proceedings_name=12-50&amp;sort=date_disseminated,DESC")</f>
        <v>https://www.fcc.gov/ecfs/search/filings?proceedings_name=12-50&amp;sort=date_disseminated,DESC</v>
      </c>
      <c r="D253" s="8" t="str">
        <f>HYPERLINK("https://apps.fcc.gov/edocs_public/Query.do?docket=12-50")</f>
        <v>https://apps.fcc.gov/edocs_public/Query.do?docket=12-50</v>
      </c>
      <c r="E253" s="4" t="s">
        <v>111</v>
      </c>
      <c r="F253" s="4">
        <v>2</v>
      </c>
      <c r="G253" s="5">
        <v>40968</v>
      </c>
      <c r="H253" s="5">
        <v>40975</v>
      </c>
    </row>
    <row r="254" spans="1:8" ht="45" x14ac:dyDescent="0.25">
      <c r="A254" s="4" t="s">
        <v>2</v>
      </c>
      <c r="B254" s="4" t="str">
        <f>"12-64"</f>
        <v>12-64</v>
      </c>
      <c r="C254" s="8" t="str">
        <f>HYPERLINK("https://www.fcc.gov/ecfs/search/filings?proceedings_name=12-64&amp;sort=date_disseminated,DESC")</f>
        <v>https://www.fcc.gov/ecfs/search/filings?proceedings_name=12-64&amp;sort=date_disseminated,DESC</v>
      </c>
      <c r="D254" s="8" t="str">
        <f>HYPERLINK("https://apps.fcc.gov/edocs_public/Query.do?docket=12-64")</f>
        <v>https://apps.fcc.gov/edocs_public/Query.do?docket=12-64</v>
      </c>
      <c r="E254" s="4" t="s">
        <v>108</v>
      </c>
      <c r="F254" s="4">
        <v>46</v>
      </c>
      <c r="G254" s="5">
        <v>40976</v>
      </c>
      <c r="H254" s="5">
        <v>41603</v>
      </c>
    </row>
    <row r="255" spans="1:8" ht="45" x14ac:dyDescent="0.25">
      <c r="A255" s="4" t="s">
        <v>2</v>
      </c>
      <c r="B255" s="4" t="str">
        <f>"12-82"</f>
        <v>12-82</v>
      </c>
      <c r="C255" s="8" t="str">
        <f>HYPERLINK("https://www.fcc.gov/ecfs/search/filings?proceedings_name=12-82&amp;sort=date_disseminated,DESC")</f>
        <v>https://www.fcc.gov/ecfs/search/filings?proceedings_name=12-82&amp;sort=date_disseminated,DESC</v>
      </c>
      <c r="D255" s="8" t="str">
        <f>HYPERLINK("https://apps.fcc.gov/edocs_public/Query.do?docket=12-82")</f>
        <v>https://apps.fcc.gov/edocs_public/Query.do?docket=12-82</v>
      </c>
      <c r="E255" s="4" t="s">
        <v>107</v>
      </c>
      <c r="F255" s="4">
        <v>3</v>
      </c>
      <c r="G255" s="5">
        <v>40998</v>
      </c>
      <c r="H255" s="5">
        <v>41030</v>
      </c>
    </row>
    <row r="256" spans="1:8" ht="60" x14ac:dyDescent="0.25">
      <c r="A256" s="4" t="s">
        <v>2</v>
      </c>
      <c r="B256" s="4" t="str">
        <f>"13-240"</f>
        <v>13-240</v>
      </c>
      <c r="C256" s="8" t="str">
        <f>HYPERLINK("https://www.fcc.gov/ecfs/search/filings?proceedings_name=13-240&amp;sort=date_disseminated,DESC")</f>
        <v>https://www.fcc.gov/ecfs/search/filings?proceedings_name=13-240&amp;sort=date_disseminated,DESC</v>
      </c>
      <c r="D256" s="8" t="str">
        <f>HYPERLINK("https://apps.fcc.gov/edocs_public/Query.do?docket=13-240")</f>
        <v>https://apps.fcc.gov/edocs_public/Query.do?docket=13-240</v>
      </c>
      <c r="E256" s="4" t="s">
        <v>33</v>
      </c>
      <c r="F256" s="4">
        <v>60</v>
      </c>
      <c r="G256" s="5">
        <v>41542</v>
      </c>
      <c r="H256" s="5">
        <v>41813</v>
      </c>
    </row>
    <row r="257" spans="1:8" ht="30" x14ac:dyDescent="0.25">
      <c r="A257" s="4" t="s">
        <v>2</v>
      </c>
      <c r="B257" s="4" t="str">
        <f>"13-56"</f>
        <v>13-56</v>
      </c>
      <c r="C257" s="8" t="str">
        <f>HYPERLINK("https://www.fcc.gov/ecfs/search/filings?proceedings_name=13-56&amp;sort=date_disseminated,DESC")</f>
        <v>https://www.fcc.gov/ecfs/search/filings?proceedings_name=13-56&amp;sort=date_disseminated,DESC</v>
      </c>
      <c r="D257" s="8" t="str">
        <f>HYPERLINK("https://apps.fcc.gov/edocs_public/Query.do?docket=13-56")</f>
        <v>https://apps.fcc.gov/edocs_public/Query.do?docket=13-56</v>
      </c>
      <c r="E257" s="4" t="s">
        <v>63</v>
      </c>
      <c r="F257" s="4">
        <v>50</v>
      </c>
      <c r="G257" s="5">
        <v>41338</v>
      </c>
      <c r="H257" s="5">
        <v>41520</v>
      </c>
    </row>
    <row r="258" spans="1:8" ht="30" x14ac:dyDescent="0.25">
      <c r="A258" s="4" t="s">
        <v>2</v>
      </c>
      <c r="B258" s="4" t="str">
        <f>"14-75"</f>
        <v>14-75</v>
      </c>
      <c r="C258" s="8" t="str">
        <f>HYPERLINK("https://www.fcc.gov/ecfs/search/filings?proceedings_name=14-75&amp;sort=date_disseminated,DESC")</f>
        <v>https://www.fcc.gov/ecfs/search/filings?proceedings_name=14-75&amp;sort=date_disseminated,DESC</v>
      </c>
      <c r="D258" s="8" t="str">
        <f>HYPERLINK("https://apps.fcc.gov/edocs_public/Query.do?docket=14-75")</f>
        <v>https://apps.fcc.gov/edocs_public/Query.do?docket=14-75</v>
      </c>
      <c r="E258" s="4" t="s">
        <v>12</v>
      </c>
      <c r="F258" s="4">
        <v>19</v>
      </c>
      <c r="G258" s="5">
        <v>41773</v>
      </c>
      <c r="H258" s="5">
        <v>41862</v>
      </c>
    </row>
    <row r="259" spans="1:8" ht="45" x14ac:dyDescent="0.25">
      <c r="A259" s="4" t="s">
        <v>2</v>
      </c>
      <c r="B259" s="4" t="str">
        <f>"14-79"</f>
        <v>14-79</v>
      </c>
      <c r="C259" s="8" t="str">
        <f>HYPERLINK("https://www.fcc.gov/ecfs/search/filings?proceedings_name=14-79&amp;sort=date_disseminated,DESC")</f>
        <v>https://www.fcc.gov/ecfs/search/filings?proceedings_name=14-79&amp;sort=date_disseminated,DESC</v>
      </c>
      <c r="D259" s="8" t="str">
        <f>HYPERLINK("https://apps.fcc.gov/edocs_public/Query.do?docket=14-79")</f>
        <v>https://apps.fcc.gov/edocs_public/Query.do?docket=14-79</v>
      </c>
      <c r="E259" s="4" t="s">
        <v>11</v>
      </c>
      <c r="F259" s="4">
        <v>2</v>
      </c>
      <c r="G259" s="5">
        <v>41780</v>
      </c>
      <c r="H259" s="5">
        <v>41796</v>
      </c>
    </row>
    <row r="260" spans="1:8" ht="45" x14ac:dyDescent="0.25">
      <c r="A260" s="4" t="s">
        <v>2</v>
      </c>
      <c r="B260" s="4" t="str">
        <f>"97-217"</f>
        <v>97-217</v>
      </c>
      <c r="C260" s="8" t="str">
        <f>HYPERLINK("https://www.fcc.gov/ecfs/search/filings?proceedings_name=97-217&amp;sort=date_disseminated,DESC")</f>
        <v>https://www.fcc.gov/ecfs/search/filings?proceedings_name=97-217&amp;sort=date_disseminated,DESC</v>
      </c>
      <c r="D260" s="8" t="str">
        <f>HYPERLINK("https://apps.fcc.gov/edocs_public/Query.do?docket=97-217")</f>
        <v>https://apps.fcc.gov/edocs_public/Query.do?docket=97-217</v>
      </c>
      <c r="E260" s="4" t="s">
        <v>180</v>
      </c>
      <c r="F260" s="4">
        <v>467</v>
      </c>
      <c r="G260" s="5">
        <v>35717</v>
      </c>
      <c r="H260" s="5">
        <v>41571</v>
      </c>
    </row>
    <row r="261" spans="1:8" ht="15" customHeight="1" x14ac:dyDescent="0.25">
      <c r="A261" s="4" t="s">
        <v>2</v>
      </c>
      <c r="B261" s="4" t="str">
        <f>"RM-11417"</f>
        <v>RM-11417</v>
      </c>
      <c r="C261" s="8" t="str">
        <f>HYPERLINK("https://www.fcc.gov/ecfs/search/filings?proceedings_name=RM-11417&amp;sort=date_disseminated,DESC")</f>
        <v>https://www.fcc.gov/ecfs/search/filings?proceedings_name=RM-11417&amp;sort=date_disseminated,DESC</v>
      </c>
      <c r="D261" s="8" t="str">
        <f>HYPERLINK("https://apps.fcc.gov/edocs_public/Query.do?docket=RM-11417")</f>
        <v>https://apps.fcc.gov/edocs_public/Query.do?docket=RM-11417</v>
      </c>
      <c r="E261" s="4" t="s">
        <v>146</v>
      </c>
      <c r="F261" s="4">
        <v>23</v>
      </c>
      <c r="G261" s="5">
        <v>39505</v>
      </c>
      <c r="H261" s="5">
        <v>40841</v>
      </c>
    </row>
    <row r="262" spans="1:8" ht="30" x14ac:dyDescent="0.25">
      <c r="A262" s="4" t="s">
        <v>2</v>
      </c>
      <c r="B262" s="4" t="str">
        <f>"RM-11497"</f>
        <v>RM-11497</v>
      </c>
      <c r="C262" s="8" t="str">
        <f>HYPERLINK("https://www.fcc.gov/ecfs/search/filings?proceedings_name=RM-11497&amp;sort=date_disseminated,DESC")</f>
        <v>https://www.fcc.gov/ecfs/search/filings?proceedings_name=RM-11497&amp;sort=date_disseminated,DESC</v>
      </c>
      <c r="D262" s="8" t="str">
        <f>HYPERLINK("https://apps.fcc.gov/edocs_public/Query.do?docket=RM-11497")</f>
        <v>https://apps.fcc.gov/edocs_public/Query.do?docket=RM-11497</v>
      </c>
      <c r="E262" s="4" t="s">
        <v>142</v>
      </c>
      <c r="F262" s="4">
        <v>129</v>
      </c>
      <c r="G262" s="5">
        <v>39728</v>
      </c>
      <c r="H262" s="5">
        <v>41631</v>
      </c>
    </row>
    <row r="263" spans="1:8" ht="30" x14ac:dyDescent="0.25">
      <c r="A263" s="4" t="s">
        <v>2</v>
      </c>
      <c r="B263" s="4" t="str">
        <f>"RM-11503"</f>
        <v>RM-11503</v>
      </c>
      <c r="C263" s="8" t="str">
        <f>HYPERLINK("https://www.fcc.gov/ecfs/search/filings?proceedings_name=RM-11503&amp;sort=date_disseminated,DESC")</f>
        <v>https://www.fcc.gov/ecfs/search/filings?proceedings_name=RM-11503&amp;sort=date_disseminated,DESC</v>
      </c>
      <c r="D263" s="8" t="str">
        <f>HYPERLINK("https://apps.fcc.gov/edocs_public/Query.do?docket=RM-11503")</f>
        <v>https://apps.fcc.gov/edocs_public/Query.do?docket=RM-11503</v>
      </c>
      <c r="E263" s="4" t="s">
        <v>140</v>
      </c>
      <c r="F263" s="4">
        <v>18</v>
      </c>
      <c r="G263" s="5">
        <v>39770</v>
      </c>
      <c r="H263" s="5">
        <v>41367</v>
      </c>
    </row>
    <row r="264" spans="1:8" x14ac:dyDescent="0.25">
      <c r="A264" s="4" t="s">
        <v>2</v>
      </c>
      <c r="B264" s="4" t="str">
        <f>"RM-11612"</f>
        <v>RM-11612</v>
      </c>
      <c r="C264" s="8" t="str">
        <f>HYPERLINK("https://www.fcc.gov/ecfs/search/filings?proceedings_name=RM-11612&amp;sort=date_disseminated,DESC")</f>
        <v>https://www.fcc.gov/ecfs/search/filings?proceedings_name=RM-11612&amp;sort=date_disseminated,DESC</v>
      </c>
      <c r="D264" s="8" t="str">
        <f>HYPERLINK("https://apps.fcc.gov/edocs_public/Query.do?docket=RM-11612")</f>
        <v>https://apps.fcc.gov/edocs_public/Query.do?docket=RM-11612</v>
      </c>
      <c r="E264" s="4" t="s">
        <v>129</v>
      </c>
      <c r="F264" s="4">
        <v>13</v>
      </c>
      <c r="G264" s="5">
        <v>40437</v>
      </c>
      <c r="H264" s="5">
        <v>41471</v>
      </c>
    </row>
    <row r="265" spans="1:8" ht="15" customHeight="1" x14ac:dyDescent="0.25">
      <c r="A265" s="4" t="s">
        <v>2</v>
      </c>
      <c r="B265" s="4" t="str">
        <f>"RM-11613"</f>
        <v>RM-11613</v>
      </c>
      <c r="C265" s="8" t="str">
        <f>HYPERLINK("https://www.fcc.gov/ecfs/search/filings?proceedings_name=RM-11613&amp;sort=date_disseminated,DESC")</f>
        <v>https://www.fcc.gov/ecfs/search/filings?proceedings_name=RM-11613&amp;sort=date_disseminated,DESC</v>
      </c>
      <c r="D265" s="8" t="str">
        <f>HYPERLINK("https://apps.fcc.gov/edocs_public/Query.do?docket=RM-11613")</f>
        <v>https://apps.fcc.gov/edocs_public/Query.do?docket=RM-11613</v>
      </c>
      <c r="E265" s="4" t="s">
        <v>128</v>
      </c>
      <c r="F265" s="4">
        <v>2</v>
      </c>
      <c r="G265" s="5">
        <v>40478</v>
      </c>
      <c r="H265" s="5">
        <v>40479</v>
      </c>
    </row>
    <row r="266" spans="1:8" x14ac:dyDescent="0.25">
      <c r="A266" s="4" t="s">
        <v>2</v>
      </c>
      <c r="B266" s="4" t="str">
        <f>"RM-11625"</f>
        <v>RM-11625</v>
      </c>
      <c r="C266" s="8" t="str">
        <f>HYPERLINK("https://www.fcc.gov/ecfs/search/filings?proceedings_name=RM-11625&amp;sort=date_disseminated,DESC")</f>
        <v>https://www.fcc.gov/ecfs/search/filings?proceedings_name=RM-11625&amp;sort=date_disseminated,DESC</v>
      </c>
      <c r="D266" s="8" t="str">
        <f>HYPERLINK("https://apps.fcc.gov/edocs_public/Query.do?docket=RM-11625")</f>
        <v>https://apps.fcc.gov/edocs_public/Query.do?docket=RM-11625</v>
      </c>
      <c r="E266" s="4" t="s">
        <v>124</v>
      </c>
      <c r="F266" s="4">
        <v>59</v>
      </c>
      <c r="G266" s="5">
        <v>40624</v>
      </c>
      <c r="H266" s="5">
        <v>41799</v>
      </c>
    </row>
    <row r="267" spans="1:8" x14ac:dyDescent="0.25">
      <c r="A267" s="4" t="s">
        <v>2</v>
      </c>
      <c r="B267" s="4" t="str">
        <f>"RM-11699"</f>
        <v>RM-11699</v>
      </c>
      <c r="C267" s="8" t="str">
        <f>HYPERLINK("https://www.fcc.gov/ecfs/search/filings?proceedings_name=RM-11699&amp;sort=date_disseminated,DESC")</f>
        <v>https://www.fcc.gov/ecfs/search/filings?proceedings_name=RM-11699&amp;sort=date_disseminated,DESC</v>
      </c>
      <c r="D267" s="8" t="str">
        <f>HYPERLINK("https://apps.fcc.gov/edocs_public/Query.do?docket=RM-11699")</f>
        <v>https://apps.fcc.gov/edocs_public/Query.do?docket=RM-11699</v>
      </c>
      <c r="E267" s="4" t="s">
        <v>45</v>
      </c>
      <c r="F267" s="4">
        <v>296</v>
      </c>
      <c r="G267" s="5">
        <v>41432</v>
      </c>
      <c r="H267" s="5">
        <v>41631</v>
      </c>
    </row>
    <row r="268" spans="1:8" ht="30" x14ac:dyDescent="0.25">
      <c r="A268" s="4" t="s">
        <v>5</v>
      </c>
      <c r="B268" s="4" t="str">
        <f>"03-10"</f>
        <v>03-10</v>
      </c>
      <c r="C268" s="8" t="str">
        <f>HYPERLINK("https://www.fcc.gov/ecfs/search/filings?proceedings_name=03-10&amp;sort=date_disseminated,DESC")</f>
        <v>https://www.fcc.gov/ecfs/search/filings?proceedings_name=03-10&amp;sort=date_disseminated,DESC</v>
      </c>
      <c r="D268" s="8" t="str">
        <f>HYPERLINK("https://apps.fcc.gov/edocs_public/Query.do?docket=03-10")</f>
        <v>https://apps.fcc.gov/edocs_public/Query.do?docket=03-10</v>
      </c>
      <c r="E268" s="4" t="s">
        <v>155</v>
      </c>
      <c r="F268" s="4">
        <v>71</v>
      </c>
      <c r="G268" s="5">
        <v>37635</v>
      </c>
      <c r="H268" s="5">
        <v>41456</v>
      </c>
    </row>
    <row r="269" spans="1:8" ht="30" x14ac:dyDescent="0.25">
      <c r="A269" s="4" t="s">
        <v>5</v>
      </c>
      <c r="B269" s="4" t="s">
        <v>217</v>
      </c>
      <c r="C269" s="10" t="str">
        <f>HYPERLINK("https://www.fcc.gov/ecfs/search/filings?proceedings_name=03-165&amp;sort=date_disseminated,DESC")</f>
        <v>https://www.fcc.gov/ecfs/search/filings?proceedings_name=03-165&amp;sort=date_disseminated,DESC</v>
      </c>
      <c r="D269" s="10" t="str">
        <f>HYPERLINK("https://apps.fcc.gov/edocs_public/Query.do?docket=03-165")</f>
        <v>https://apps.fcc.gov/edocs_public/Query.do?docket=03-165</v>
      </c>
      <c r="E269" s="4" t="s">
        <v>222</v>
      </c>
      <c r="F269" s="4">
        <v>5</v>
      </c>
      <c r="G269" s="5">
        <v>37813</v>
      </c>
      <c r="H269" s="5">
        <v>40603</v>
      </c>
    </row>
    <row r="270" spans="1:8" x14ac:dyDescent="0.25">
      <c r="A270" s="4" t="s">
        <v>5</v>
      </c>
      <c r="B270" s="4" t="str">
        <f>"03-90"</f>
        <v>03-90</v>
      </c>
      <c r="C270" s="8" t="str">
        <f>HYPERLINK("https://www.fcc.gov/ecfs/search/filings?proceedings_name=03-90&amp;sort=date_disseminated,DESC")</f>
        <v>https://www.fcc.gov/ecfs/search/filings?proceedings_name=03-90&amp;sort=date_disseminated,DESC</v>
      </c>
      <c r="D270" s="8" t="str">
        <f>HYPERLINK("https://apps.fcc.gov/edocs_public/Query.do?docket=03-90")</f>
        <v>https://apps.fcc.gov/edocs_public/Query.do?docket=03-90</v>
      </c>
      <c r="E270" s="4" t="s">
        <v>153</v>
      </c>
      <c r="F270" s="4">
        <v>129</v>
      </c>
      <c r="G270" s="5">
        <v>37708</v>
      </c>
      <c r="H270" s="5">
        <v>40821</v>
      </c>
    </row>
    <row r="271" spans="1:8" ht="30" x14ac:dyDescent="0.25">
      <c r="A271" s="4" t="s">
        <v>5</v>
      </c>
      <c r="B271" s="4" t="str">
        <f>"04-48"</f>
        <v>04-48</v>
      </c>
      <c r="C271" s="8" t="str">
        <f>HYPERLINK("https://www.fcc.gov/ecfs/search/filings?proceedings_name=04-48&amp;sort=date_disseminated,DESC")</f>
        <v>https://www.fcc.gov/ecfs/search/filings?proceedings_name=04-48&amp;sort=date_disseminated,DESC</v>
      </c>
      <c r="D271" s="8" t="str">
        <f>HYPERLINK("https://apps.fcc.gov/edocs_public/Query.do?docket=04-48")</f>
        <v>https://apps.fcc.gov/edocs_public/Query.do?docket=04-48</v>
      </c>
      <c r="E271" s="4" t="s">
        <v>287</v>
      </c>
      <c r="F271" s="4">
        <v>23</v>
      </c>
      <c r="G271" s="5">
        <v>38049</v>
      </c>
      <c r="H271" s="5">
        <v>41731</v>
      </c>
    </row>
    <row r="272" spans="1:8" ht="45" x14ac:dyDescent="0.25">
      <c r="A272" s="4" t="s">
        <v>5</v>
      </c>
      <c r="B272" s="4" t="str">
        <f>"04-6"</f>
        <v>04-6</v>
      </c>
      <c r="C272" s="8" t="str">
        <f>HYPERLINK("https://www.fcc.gov/ecfs/search/filings?proceedings_name=04-6&amp;sort=date_disseminated,DESC")</f>
        <v>https://www.fcc.gov/ecfs/search/filings?proceedings_name=04-6&amp;sort=date_disseminated,DESC</v>
      </c>
      <c r="D272" s="8" t="str">
        <f>HYPERLINK("https://apps.fcc.gov/edocs_public/Query.do?docket=04-6")</f>
        <v>https://apps.fcc.gov/edocs_public/Query.do?docket=04-6</v>
      </c>
      <c r="E272" s="4" t="s">
        <v>288</v>
      </c>
      <c r="F272" s="4">
        <v>34</v>
      </c>
      <c r="G272" s="5">
        <v>38000</v>
      </c>
      <c r="H272" s="5">
        <v>41891</v>
      </c>
    </row>
    <row r="273" spans="1:8" ht="45" x14ac:dyDescent="0.25">
      <c r="A273" s="4" t="s">
        <v>5</v>
      </c>
      <c r="B273" s="4" t="str">
        <f>"05-175"</f>
        <v>05-175</v>
      </c>
      <c r="C273" s="8" t="str">
        <f>HYPERLINK("https://www.fcc.gov/ecfs/search/filings?proceedings_name=05-175&amp;sort=date_disseminated,DESC")</f>
        <v>https://www.fcc.gov/ecfs/search/filings?proceedings_name=05-175&amp;sort=date_disseminated,DESC</v>
      </c>
      <c r="D273" s="8" t="str">
        <f>HYPERLINK("https://apps.fcc.gov/edocs_public/Query.do?docket=05-175")</f>
        <v>https://apps.fcc.gov/edocs_public/Query.do?docket=05-175</v>
      </c>
      <c r="E273" s="4" t="s">
        <v>327</v>
      </c>
      <c r="F273" s="4">
        <v>13</v>
      </c>
      <c r="G273" s="5">
        <v>38461</v>
      </c>
      <c r="H273" s="5">
        <v>41050</v>
      </c>
    </row>
    <row r="274" spans="1:8" ht="45" x14ac:dyDescent="0.25">
      <c r="A274" s="4" t="s">
        <v>5</v>
      </c>
      <c r="B274" s="4" t="str">
        <f>"05-276"</f>
        <v>05-276</v>
      </c>
      <c r="C274" s="8" t="str">
        <f>HYPERLINK("https://www.fcc.gov/ecfs/search/filings?proceedings_name=05-276&amp;sort=date_disseminated,DESC")</f>
        <v>https://www.fcc.gov/ecfs/search/filings?proceedings_name=05-276&amp;sort=date_disseminated,DESC</v>
      </c>
      <c r="D274" s="8" t="str">
        <f>HYPERLINK("https://apps.fcc.gov/edocs_public/Query.do?docket=05-276")</f>
        <v>https://apps.fcc.gov/edocs_public/Query.do?docket=05-276</v>
      </c>
      <c r="E274" s="4" t="s">
        <v>291</v>
      </c>
      <c r="F274" s="4">
        <v>102</v>
      </c>
      <c r="G274" s="5">
        <v>38618</v>
      </c>
      <c r="H274" s="5">
        <v>40325</v>
      </c>
    </row>
    <row r="275" spans="1:8" ht="45" x14ac:dyDescent="0.25">
      <c r="A275" s="4" t="s">
        <v>5</v>
      </c>
      <c r="B275" s="4" t="str">
        <f>"05-65"</f>
        <v>05-65</v>
      </c>
      <c r="C275" s="8" t="str">
        <f>HYPERLINK("https://www.fcc.gov/ecfs/search/filings?proceedings_name=05-65&amp;sort=date_disseminated,DESC")</f>
        <v>https://www.fcc.gov/ecfs/search/filings?proceedings_name=05-65&amp;sort=date_disseminated,DESC</v>
      </c>
      <c r="D275" s="8" t="str">
        <f>HYPERLINK("https://apps.fcc.gov/edocs_public/Query.do?docket=05-65")</f>
        <v>https://apps.fcc.gov/edocs_public/Query.do?docket=05-65</v>
      </c>
      <c r="E275" s="4" t="s">
        <v>292</v>
      </c>
      <c r="F275" s="4">
        <v>10816</v>
      </c>
      <c r="G275" s="5">
        <v>38399</v>
      </c>
      <c r="H275" s="5">
        <v>40843</v>
      </c>
    </row>
    <row r="276" spans="1:8" ht="15" customHeight="1" x14ac:dyDescent="0.25">
      <c r="A276" s="4" t="s">
        <v>5</v>
      </c>
      <c r="B276" s="4" t="str">
        <f>"05-75"</f>
        <v>05-75</v>
      </c>
      <c r="C276" s="8" t="str">
        <f>HYPERLINK("https://www.fcc.gov/ecfs/search/filings?proceedings_name=05-75&amp;sort=date_disseminated,DESC")</f>
        <v>https://www.fcc.gov/ecfs/search/filings?proceedings_name=05-75&amp;sort=date_disseminated,DESC</v>
      </c>
      <c r="D276" s="8" t="str">
        <f>HYPERLINK("https://apps.fcc.gov/edocs_public/Query.do?docket=05-75")</f>
        <v>https://apps.fcc.gov/edocs_public/Query.do?docket=05-75</v>
      </c>
      <c r="E276" s="4" t="s">
        <v>289</v>
      </c>
      <c r="F276" s="4">
        <v>8593</v>
      </c>
      <c r="G276" s="5">
        <v>38412</v>
      </c>
      <c r="H276" s="5">
        <v>41145</v>
      </c>
    </row>
    <row r="277" spans="1:8" ht="60" x14ac:dyDescent="0.25">
      <c r="A277" s="4" t="s">
        <v>5</v>
      </c>
      <c r="B277" s="4" t="str">
        <f>"06-10"</f>
        <v>06-10</v>
      </c>
      <c r="C277" s="8" t="str">
        <f>HYPERLINK("https://www.fcc.gov/ecfs/search/filings?proceedings_name=06-10&amp;sort=date_disseminated,DESC")</f>
        <v>https://www.fcc.gov/ecfs/search/filings?proceedings_name=06-10&amp;sort=date_disseminated,DESC</v>
      </c>
      <c r="D277" s="8" t="str">
        <f>HYPERLINK("https://apps.fcc.gov/edocs_public/Query.do?docket=06-10")</f>
        <v>https://apps.fcc.gov/edocs_public/Query.do?docket=06-10</v>
      </c>
      <c r="E277" s="4" t="s">
        <v>290</v>
      </c>
      <c r="F277" s="4">
        <v>46</v>
      </c>
      <c r="G277" s="5">
        <v>38728</v>
      </c>
      <c r="H277" s="5">
        <v>40934</v>
      </c>
    </row>
    <row r="278" spans="1:8" ht="30" x14ac:dyDescent="0.25">
      <c r="A278" s="4" t="s">
        <v>5</v>
      </c>
      <c r="B278" s="4" t="str">
        <f>"06-129"</f>
        <v>06-129</v>
      </c>
      <c r="C278" s="8" t="str">
        <f>HYPERLINK("https://www.fcc.gov/ecfs/search/filings?proceedings_name=06-129&amp;sort=date_disseminated,DESC")</f>
        <v>https://www.fcc.gov/ecfs/search/filings?proceedings_name=06-129&amp;sort=date_disseminated,DESC</v>
      </c>
      <c r="D278" s="8" t="str">
        <f>HYPERLINK("https://apps.fcc.gov/edocs_public/Query.do?docket=06-129")</f>
        <v>https://apps.fcc.gov/edocs_public/Query.do?docket=06-129</v>
      </c>
      <c r="E278" s="4" t="s">
        <v>293</v>
      </c>
      <c r="F278" s="4">
        <v>45</v>
      </c>
      <c r="G278" s="5">
        <v>38898</v>
      </c>
      <c r="H278" s="5">
        <v>40095</v>
      </c>
    </row>
    <row r="279" spans="1:8" ht="60" x14ac:dyDescent="0.25">
      <c r="A279" s="4" t="s">
        <v>5</v>
      </c>
      <c r="B279" s="4" t="str">
        <f>"07-12"</f>
        <v>07-12</v>
      </c>
      <c r="C279" s="8" t="str">
        <f>HYPERLINK("https://www.fcc.gov/ecfs/search/filings?proceedings_name=07-12&amp;sort=date_disseminated,DESC")</f>
        <v>https://www.fcc.gov/ecfs/search/filings?proceedings_name=07-12&amp;sort=date_disseminated,DESC</v>
      </c>
      <c r="D279" s="8" t="str">
        <f>HYPERLINK("https://apps.fcc.gov/edocs_public/Query.do?docket=07-12")</f>
        <v>https://apps.fcc.gov/edocs_public/Query.do?docket=07-12</v>
      </c>
      <c r="E279" s="4" t="s">
        <v>294</v>
      </c>
      <c r="F279" s="4">
        <v>12</v>
      </c>
      <c r="G279" s="5">
        <v>39111</v>
      </c>
      <c r="H279" s="5">
        <v>40107</v>
      </c>
    </row>
    <row r="280" spans="1:8" ht="45" x14ac:dyDescent="0.25">
      <c r="A280" s="4" t="s">
        <v>5</v>
      </c>
      <c r="B280" s="4" t="str">
        <f>"07-138"</f>
        <v>07-138</v>
      </c>
      <c r="C280" s="8" t="str">
        <f>HYPERLINK("https://www.fcc.gov/ecfs/search/filings?proceedings_name=07-138&amp;sort=date_disseminated,DESC")</f>
        <v>https://www.fcc.gov/ecfs/search/filings?proceedings_name=07-138&amp;sort=date_disseminated,DESC</v>
      </c>
      <c r="D280" s="8" t="str">
        <f>HYPERLINK("https://apps.fcc.gov/edocs_public/Query.do?docket=07-138")</f>
        <v>https://apps.fcc.gov/edocs_public/Query.do?docket=07-138</v>
      </c>
      <c r="E280" s="4" t="s">
        <v>295</v>
      </c>
      <c r="F280" s="4">
        <v>12</v>
      </c>
      <c r="G280" s="5">
        <v>39274</v>
      </c>
      <c r="H280" s="5">
        <v>39891</v>
      </c>
    </row>
    <row r="281" spans="1:8" ht="75" x14ac:dyDescent="0.25">
      <c r="A281" s="4" t="s">
        <v>5</v>
      </c>
      <c r="B281" s="4" t="str">
        <f>"07-22"</f>
        <v>07-22</v>
      </c>
      <c r="C281" s="8" t="str">
        <f>HYPERLINK("https://www.fcc.gov/ecfs/search/filings?proceedings_name=07-22&amp;sort=date_disseminated,DESC")</f>
        <v>https://www.fcc.gov/ecfs/search/filings?proceedings_name=07-22&amp;sort=date_disseminated,DESC</v>
      </c>
      <c r="D281" s="8" t="str">
        <f>HYPERLINK("https://apps.fcc.gov/edocs_public/Query.do?docket=07-22")</f>
        <v>https://apps.fcc.gov/edocs_public/Query.do?docket=07-22</v>
      </c>
      <c r="E281" s="4" t="s">
        <v>296</v>
      </c>
      <c r="F281" s="4">
        <v>77</v>
      </c>
      <c r="G281" s="5">
        <v>39118</v>
      </c>
      <c r="H281" s="5">
        <v>41103</v>
      </c>
    </row>
    <row r="282" spans="1:8" ht="15" customHeight="1" x14ac:dyDescent="0.25">
      <c r="A282" s="4" t="s">
        <v>5</v>
      </c>
      <c r="B282" s="4" t="str">
        <f>"07-271"</f>
        <v>07-271</v>
      </c>
      <c r="C282" s="8" t="str">
        <f>HYPERLINK("https://www.fcc.gov/ecfs/search/filings?proceedings_name=07-271&amp;sort=date_disseminated,DESC")</f>
        <v>https://www.fcc.gov/ecfs/search/filings?proceedings_name=07-271&amp;sort=date_disseminated,DESC</v>
      </c>
      <c r="D282" s="8" t="str">
        <f>HYPERLINK("https://apps.fcc.gov/edocs_public/Query.do?docket=07-271")</f>
        <v>https://apps.fcc.gov/edocs_public/Query.do?docket=07-271</v>
      </c>
      <c r="E282" s="4" t="s">
        <v>148</v>
      </c>
      <c r="F282" s="4">
        <v>555</v>
      </c>
      <c r="G282" s="5">
        <v>39413</v>
      </c>
      <c r="H282" s="5">
        <v>41030</v>
      </c>
    </row>
    <row r="283" spans="1:8" ht="60" x14ac:dyDescent="0.25">
      <c r="A283" s="4" t="s">
        <v>5</v>
      </c>
      <c r="B283" s="4" t="str">
        <f>"08-123"</f>
        <v>08-123</v>
      </c>
      <c r="C283" s="8" t="str">
        <f>HYPERLINK("https://www.fcc.gov/ecfs/search/filings?proceedings_name=08-123&amp;sort=date_disseminated,DESC")</f>
        <v>https://www.fcc.gov/ecfs/search/filings?proceedings_name=08-123&amp;sort=date_disseminated,DESC</v>
      </c>
      <c r="D283" s="8" t="str">
        <f>HYPERLINK("https://apps.fcc.gov/edocs_public/Query.do?docket=08-123")</f>
        <v>https://apps.fcc.gov/edocs_public/Query.do?docket=08-123</v>
      </c>
      <c r="E283" s="4" t="s">
        <v>297</v>
      </c>
      <c r="F283" s="4">
        <v>11</v>
      </c>
      <c r="G283" s="5">
        <v>39630</v>
      </c>
      <c r="H283" s="5">
        <v>40861</v>
      </c>
    </row>
    <row r="284" spans="1:8" ht="45" x14ac:dyDescent="0.25">
      <c r="A284" s="4" t="s">
        <v>5</v>
      </c>
      <c r="B284" s="4" t="str">
        <f>"08-154"</f>
        <v>08-154</v>
      </c>
      <c r="C284" s="8" t="str">
        <f>HYPERLINK("https://www.fcc.gov/ecfs/search/filings?proceedings_name=08-154&amp;sort=date_disseminated,DESC")</f>
        <v>https://www.fcc.gov/ecfs/search/filings?proceedings_name=08-154&amp;sort=date_disseminated,DESC</v>
      </c>
      <c r="D284" s="8" t="str">
        <f>HYPERLINK("https://apps.fcc.gov/edocs_public/Query.do?docket=08-154")</f>
        <v>https://apps.fcc.gov/edocs_public/Query.do?docket=08-154</v>
      </c>
      <c r="E284" s="4" t="s">
        <v>298</v>
      </c>
      <c r="F284" s="4">
        <v>31</v>
      </c>
      <c r="G284" s="5">
        <v>39653</v>
      </c>
      <c r="H284" s="5">
        <v>40203</v>
      </c>
    </row>
    <row r="285" spans="1:8" ht="15" customHeight="1" x14ac:dyDescent="0.25">
      <c r="A285" s="4" t="s">
        <v>5</v>
      </c>
      <c r="B285" s="4" t="str">
        <f>"08-157"</f>
        <v>08-157</v>
      </c>
      <c r="C285" s="8" t="str">
        <f>HYPERLINK("https://www.fcc.gov/ecfs/search/filings?proceedings_name=08-157&amp;sort=date_disseminated,DESC")</f>
        <v>https://www.fcc.gov/ecfs/search/filings?proceedings_name=08-157&amp;sort=date_disseminated,DESC</v>
      </c>
      <c r="D285" s="8" t="str">
        <f>HYPERLINK("https://apps.fcc.gov/edocs_public/Query.do?docket=08-157")</f>
        <v>https://apps.fcc.gov/edocs_public/Query.do?docket=08-157</v>
      </c>
      <c r="E285" s="4" t="s">
        <v>144</v>
      </c>
      <c r="F285" s="4">
        <v>20</v>
      </c>
      <c r="G285" s="5">
        <v>39659</v>
      </c>
      <c r="H285" s="5">
        <v>41088</v>
      </c>
    </row>
    <row r="286" spans="1:8" ht="45" x14ac:dyDescent="0.25">
      <c r="A286" s="4" t="s">
        <v>5</v>
      </c>
      <c r="B286" s="4" t="str">
        <f>"08-235"</f>
        <v>08-235</v>
      </c>
      <c r="C286" s="8" t="str">
        <f>HYPERLINK("https://www.fcc.gov/ecfs/search/filings?proceedings_name=08-235&amp;sort=date_disseminated,DESC")</f>
        <v>https://www.fcc.gov/ecfs/search/filings?proceedings_name=08-235&amp;sort=date_disseminated,DESC</v>
      </c>
      <c r="D286" s="8" t="str">
        <f>HYPERLINK("https://apps.fcc.gov/edocs_public/Query.do?docket=08-235")</f>
        <v>https://apps.fcc.gov/edocs_public/Query.do?docket=08-235</v>
      </c>
      <c r="E286" s="4" t="s">
        <v>299</v>
      </c>
      <c r="F286" s="4">
        <v>6</v>
      </c>
      <c r="G286" s="5">
        <v>39783</v>
      </c>
      <c r="H286" s="5">
        <v>39888</v>
      </c>
    </row>
    <row r="287" spans="1:8" ht="30" x14ac:dyDescent="0.25">
      <c r="A287" s="4" t="s">
        <v>5</v>
      </c>
      <c r="B287" s="4" t="str">
        <f>"08-238"</f>
        <v>08-238</v>
      </c>
      <c r="C287" s="8" t="str">
        <f>HYPERLINK("https://www.fcc.gov/ecfs/search/filings?proceedings_name=08-238&amp;sort=date_disseminated,DESC")</f>
        <v>https://www.fcc.gov/ecfs/search/filings?proceedings_name=08-238&amp;sort=date_disseminated,DESC</v>
      </c>
      <c r="D287" s="8" t="str">
        <f>HYPERLINK("https://apps.fcc.gov/edocs_public/Query.do?docket=08-238")</f>
        <v>https://apps.fcc.gov/edocs_public/Query.do?docket=08-238</v>
      </c>
      <c r="E287" s="4" t="s">
        <v>139</v>
      </c>
      <c r="F287" s="4">
        <v>115</v>
      </c>
      <c r="G287" s="5">
        <v>39786</v>
      </c>
      <c r="H287" s="5">
        <v>41668</v>
      </c>
    </row>
    <row r="288" spans="1:8" ht="30" x14ac:dyDescent="0.25">
      <c r="A288" s="4" t="s">
        <v>5</v>
      </c>
      <c r="B288" s="4" t="str">
        <f>"09-144"</f>
        <v>09-144</v>
      </c>
      <c r="C288" s="8" t="str">
        <f>HYPERLINK("https://www.fcc.gov/ecfs/search/filings?proceedings_name=09-144&amp;sort=date_disseminated,DESC")</f>
        <v>https://www.fcc.gov/ecfs/search/filings?proceedings_name=09-144&amp;sort=date_disseminated,DESC</v>
      </c>
      <c r="D288" s="8" t="str">
        <f>HYPERLINK("https://apps.fcc.gov/edocs_public/Query.do?docket=09-144")</f>
        <v>https://apps.fcc.gov/edocs_public/Query.do?docket=09-144</v>
      </c>
      <c r="E288" s="4" t="s">
        <v>300</v>
      </c>
      <c r="F288" s="4">
        <v>354</v>
      </c>
      <c r="G288" s="5">
        <v>40035</v>
      </c>
      <c r="H288" s="5">
        <v>41613</v>
      </c>
    </row>
    <row r="289" spans="1:8" ht="30" x14ac:dyDescent="0.25">
      <c r="A289" s="4" t="s">
        <v>5</v>
      </c>
      <c r="B289" s="4" t="str">
        <f>"09-15"</f>
        <v>09-15</v>
      </c>
      <c r="C289" s="8" t="str">
        <f>HYPERLINK("https://www.fcc.gov/ecfs/search/filings?proceedings_name=09-15&amp;sort=date_disseminated,DESC")</f>
        <v>https://www.fcc.gov/ecfs/search/filings?proceedings_name=09-15&amp;sort=date_disseminated,DESC</v>
      </c>
      <c r="D289" s="8" t="str">
        <f>HYPERLINK("https://apps.fcc.gov/edocs_public/Query.do?docket=09-15")</f>
        <v>https://apps.fcc.gov/edocs_public/Query.do?docket=09-15</v>
      </c>
      <c r="E289" s="4" t="s">
        <v>301</v>
      </c>
      <c r="F289" s="4">
        <v>5</v>
      </c>
      <c r="G289" s="5">
        <v>39855</v>
      </c>
      <c r="H289" s="5">
        <v>40940</v>
      </c>
    </row>
    <row r="290" spans="1:8" ht="30" x14ac:dyDescent="0.25">
      <c r="A290" s="4" t="s">
        <v>5</v>
      </c>
      <c r="B290" s="4" t="str">
        <f>"09-151"</f>
        <v>09-151</v>
      </c>
      <c r="C290" s="8" t="str">
        <f>HYPERLINK("https://www.fcc.gov/ecfs/search/filings?proceedings_name=09-151&amp;sort=date_disseminated,DESC")</f>
        <v>https://www.fcc.gov/ecfs/search/filings?proceedings_name=09-151&amp;sort=date_disseminated,DESC</v>
      </c>
      <c r="D290" s="8" t="str">
        <f>HYPERLINK("https://apps.fcc.gov/edocs_public/Query.do?docket=09-151")</f>
        <v>https://apps.fcc.gov/edocs_public/Query.do?docket=09-151</v>
      </c>
      <c r="E290" s="4" t="s">
        <v>302</v>
      </c>
      <c r="F290" s="4">
        <v>7</v>
      </c>
      <c r="G290" s="5">
        <v>40044</v>
      </c>
      <c r="H290" s="5">
        <v>41288</v>
      </c>
    </row>
    <row r="291" spans="1:8" ht="45" x14ac:dyDescent="0.25">
      <c r="A291" s="4" t="s">
        <v>5</v>
      </c>
      <c r="B291" s="4" t="str">
        <f>"09-152"</f>
        <v>09-152</v>
      </c>
      <c r="C291" s="8" t="str">
        <f>HYPERLINK("https://www.fcc.gov/ecfs/search/filings?proceedings_name=09-152&amp;sort=date_disseminated,DESC")</f>
        <v>https://www.fcc.gov/ecfs/search/filings?proceedings_name=09-152&amp;sort=date_disseminated,DESC</v>
      </c>
      <c r="D291" s="8" t="str">
        <f>HYPERLINK("https://apps.fcc.gov/edocs_public/Query.do?docket=09-152")</f>
        <v>https://apps.fcc.gov/edocs_public/Query.do?docket=09-152</v>
      </c>
      <c r="E291" s="4" t="s">
        <v>303</v>
      </c>
      <c r="F291" s="4">
        <v>72</v>
      </c>
      <c r="G291" s="5">
        <v>40046</v>
      </c>
      <c r="H291" s="5">
        <v>40798</v>
      </c>
    </row>
    <row r="292" spans="1:8" ht="60" x14ac:dyDescent="0.25">
      <c r="A292" s="4" t="s">
        <v>5</v>
      </c>
      <c r="B292" s="4" t="str">
        <f>"09-153"</f>
        <v>09-153</v>
      </c>
      <c r="C292" s="8" t="str">
        <f>HYPERLINK("https://www.fcc.gov/ecfs/search/filings?proceedings_name=09-153&amp;sort=date_disseminated,DESC")</f>
        <v>https://www.fcc.gov/ecfs/search/filings?proceedings_name=09-153&amp;sort=date_disseminated,DESC</v>
      </c>
      <c r="D292" s="8" t="str">
        <f>HYPERLINK("https://apps.fcc.gov/edocs_public/Query.do?docket=09-153")</f>
        <v>https://apps.fcc.gov/edocs_public/Query.do?docket=09-153</v>
      </c>
      <c r="E292" s="4" t="s">
        <v>304</v>
      </c>
      <c r="F292" s="4">
        <v>69</v>
      </c>
      <c r="G292" s="5">
        <v>40050</v>
      </c>
      <c r="H292" s="5">
        <v>41634</v>
      </c>
    </row>
    <row r="293" spans="1:8" ht="30" x14ac:dyDescent="0.25">
      <c r="A293" s="4" t="s">
        <v>5</v>
      </c>
      <c r="B293" s="4" t="s">
        <v>218</v>
      </c>
      <c r="C293" s="10" t="str">
        <f>HYPERLINK("https://www.fcc.gov/ecfs/search/filings?proceedings_name=09-164&amp;sort=date_disseminated,DESC")</f>
        <v>https://www.fcc.gov/ecfs/search/filings?proceedings_name=09-164&amp;sort=date_disseminated,DESC</v>
      </c>
      <c r="D293" s="10" t="str">
        <f>HYPERLINK("https://apps.fcc.gov/edocs_public/Query.do?docket=09-164")</f>
        <v>https://apps.fcc.gov/edocs_public/Query.do?docket=09-164</v>
      </c>
      <c r="E293" s="4" t="s">
        <v>223</v>
      </c>
      <c r="F293" s="4">
        <v>6</v>
      </c>
      <c r="G293" s="5">
        <v>40070</v>
      </c>
      <c r="H293" s="5">
        <v>40142</v>
      </c>
    </row>
    <row r="294" spans="1:8" ht="30" x14ac:dyDescent="0.25">
      <c r="A294" s="4" t="s">
        <v>5</v>
      </c>
      <c r="B294" s="4" t="str">
        <f>"09-165"</f>
        <v>09-165</v>
      </c>
      <c r="C294" s="8" t="str">
        <f>HYPERLINK("https://www.fcc.gov/ecfs/search/filings?proceedings_name=09-165&amp;sort=date_disseminated,DESC")</f>
        <v>https://www.fcc.gov/ecfs/search/filings?proceedings_name=09-165&amp;sort=date_disseminated,DESC</v>
      </c>
      <c r="D294" s="8" t="str">
        <f>HYPERLINK("https://apps.fcc.gov/edocs_public/Query.do?docket=09-165")</f>
        <v>https://apps.fcc.gov/edocs_public/Query.do?docket=09-165</v>
      </c>
      <c r="E294" s="4" t="s">
        <v>305</v>
      </c>
      <c r="F294" s="4">
        <v>0</v>
      </c>
      <c r="G294" s="5">
        <v>40070</v>
      </c>
      <c r="H294" s="5">
        <v>40070</v>
      </c>
    </row>
    <row r="295" spans="1:8" ht="30" x14ac:dyDescent="0.25">
      <c r="A295" s="4" t="s">
        <v>5</v>
      </c>
      <c r="B295" s="4" t="str">
        <f>"09-166"</f>
        <v>09-166</v>
      </c>
      <c r="C295" s="8" t="str">
        <f>HYPERLINK("https://www.fcc.gov/ecfs/search/filings?proceedings_name=09-166&amp;sort=date_disseminated,DESC")</f>
        <v>https://www.fcc.gov/ecfs/search/filings?proceedings_name=09-166&amp;sort=date_disseminated,DESC</v>
      </c>
      <c r="D295" s="8" t="str">
        <f>HYPERLINK("https://apps.fcc.gov/edocs_public/Query.do?docket=09-166")</f>
        <v>https://apps.fcc.gov/edocs_public/Query.do?docket=09-166</v>
      </c>
      <c r="E295" s="4" t="s">
        <v>306</v>
      </c>
      <c r="F295" s="4">
        <v>0</v>
      </c>
      <c r="G295" s="5">
        <v>40070</v>
      </c>
      <c r="H295" s="5">
        <v>40070</v>
      </c>
    </row>
    <row r="296" spans="1:8" ht="30" x14ac:dyDescent="0.25">
      <c r="A296" s="4" t="s">
        <v>5</v>
      </c>
      <c r="B296" s="4" t="str">
        <f>"09-221"</f>
        <v>09-221</v>
      </c>
      <c r="C296" s="8" t="str">
        <f>HYPERLINK("https://www.fcc.gov/ecfs/search/filings?proceedings_name=09-221&amp;sort=date_disseminated,DESC")</f>
        <v>https://www.fcc.gov/ecfs/search/filings?proceedings_name=09-221&amp;sort=date_disseminated,DESC</v>
      </c>
      <c r="D296" s="8" t="str">
        <f>HYPERLINK("https://apps.fcc.gov/edocs_public/Query.do?docket=09-221")</f>
        <v>https://apps.fcc.gov/edocs_public/Query.do?docket=09-221</v>
      </c>
      <c r="E296" s="4" t="s">
        <v>307</v>
      </c>
      <c r="F296" s="4">
        <v>4</v>
      </c>
      <c r="G296" s="5">
        <v>40161</v>
      </c>
      <c r="H296" s="5">
        <v>40289</v>
      </c>
    </row>
    <row r="297" spans="1:8" ht="45" x14ac:dyDescent="0.25">
      <c r="A297" s="4" t="s">
        <v>5</v>
      </c>
      <c r="B297" s="4" t="str">
        <f>"09-222"</f>
        <v>09-222</v>
      </c>
      <c r="C297" s="8" t="str">
        <f>HYPERLINK("https://www.fcc.gov/ecfs/search/filings?proceedings_name=09-222&amp;sort=date_disseminated,DESC")</f>
        <v>https://www.fcc.gov/ecfs/search/filings?proceedings_name=09-222&amp;sort=date_disseminated,DESC</v>
      </c>
      <c r="D297" s="8" t="str">
        <f>HYPERLINK("https://apps.fcc.gov/edocs_public/Query.do?docket=09-222")</f>
        <v>https://apps.fcc.gov/edocs_public/Query.do?docket=09-222</v>
      </c>
      <c r="E297" s="4" t="s">
        <v>308</v>
      </c>
      <c r="F297" s="4">
        <v>61</v>
      </c>
      <c r="G297" s="5">
        <v>40161</v>
      </c>
      <c r="H297" s="5">
        <v>41745</v>
      </c>
    </row>
    <row r="298" spans="1:8" ht="45" x14ac:dyDescent="0.25">
      <c r="A298" s="4" t="s">
        <v>5</v>
      </c>
      <c r="B298" s="4" t="str">
        <f>"09-28"</f>
        <v>09-28</v>
      </c>
      <c r="C298" s="8" t="str">
        <f>HYPERLINK("https://www.fcc.gov/ecfs/search/filings?proceedings_name=09-28&amp;sort=date_disseminated,DESC")</f>
        <v>https://www.fcc.gov/ecfs/search/filings?proceedings_name=09-28&amp;sort=date_disseminated,DESC</v>
      </c>
      <c r="D298" s="8" t="str">
        <f>HYPERLINK("https://apps.fcc.gov/edocs_public/Query.do?docket=09-28")</f>
        <v>https://apps.fcc.gov/edocs_public/Query.do?docket=09-28</v>
      </c>
      <c r="E298" s="4" t="s">
        <v>309</v>
      </c>
      <c r="F298" s="4">
        <v>15</v>
      </c>
      <c r="G298" s="5">
        <v>39878</v>
      </c>
      <c r="H298" s="5">
        <v>40092</v>
      </c>
    </row>
    <row r="299" spans="1:8" ht="45" x14ac:dyDescent="0.25">
      <c r="A299" s="4" t="s">
        <v>5</v>
      </c>
      <c r="B299" s="4" t="str">
        <f>"09-8"</f>
        <v>09-8</v>
      </c>
      <c r="C299" s="8" t="str">
        <f>HYPERLINK("https://www.fcc.gov/ecfs/search/filings?proceedings_name=09-8&amp;sort=date_disseminated,DESC")</f>
        <v>https://www.fcc.gov/ecfs/search/filings?proceedings_name=09-8&amp;sort=date_disseminated,DESC</v>
      </c>
      <c r="D299" s="8" t="str">
        <f>HYPERLINK("https://apps.fcc.gov/edocs_public/Query.do?docket=09-8")</f>
        <v>https://apps.fcc.gov/edocs_public/Query.do?docket=09-8</v>
      </c>
      <c r="E299" s="4" t="s">
        <v>310</v>
      </c>
      <c r="F299" s="4">
        <v>33</v>
      </c>
      <c r="G299" s="5">
        <v>39840</v>
      </c>
      <c r="H299" s="5">
        <v>39913</v>
      </c>
    </row>
    <row r="300" spans="1:8" x14ac:dyDescent="0.25">
      <c r="A300" s="4" t="s">
        <v>5</v>
      </c>
      <c r="B300" s="4" t="str">
        <f>"10-141"</f>
        <v>10-141</v>
      </c>
      <c r="C300" s="8" t="str">
        <f>HYPERLINK("https://www.fcc.gov/ecfs/search/filings?proceedings_name=10-141&amp;sort=date_disseminated,DESC")</f>
        <v>https://www.fcc.gov/ecfs/search/filings?proceedings_name=10-141&amp;sort=date_disseminated,DESC</v>
      </c>
      <c r="D300" s="8" t="str">
        <f>HYPERLINK("https://apps.fcc.gov/edocs_public/Query.do?docket=10-141")</f>
        <v>https://apps.fcc.gov/edocs_public/Query.do?docket=10-141</v>
      </c>
      <c r="E300" s="4" t="s">
        <v>311</v>
      </c>
      <c r="F300" s="4">
        <v>28</v>
      </c>
      <c r="G300" s="5">
        <v>40372</v>
      </c>
      <c r="H300" s="5">
        <v>41717</v>
      </c>
    </row>
    <row r="301" spans="1:8" ht="30" x14ac:dyDescent="0.25">
      <c r="A301" s="4" t="s">
        <v>5</v>
      </c>
      <c r="B301" s="4" t="str">
        <f>"10-143"</f>
        <v>10-143</v>
      </c>
      <c r="C301" s="8" t="str">
        <f>HYPERLINK("https://www.fcc.gov/ecfs/search/filings?proceedings_name=10-143&amp;sort=date_disseminated,DESC")</f>
        <v>https://www.fcc.gov/ecfs/search/filings?proceedings_name=10-143&amp;sort=date_disseminated,DESC</v>
      </c>
      <c r="D301" s="8" t="str">
        <f>HYPERLINK("https://apps.fcc.gov/edocs_public/Query.do?docket=10-143")</f>
        <v>https://apps.fcc.gov/edocs_public/Query.do?docket=10-143</v>
      </c>
      <c r="E301" s="4" t="s">
        <v>312</v>
      </c>
      <c r="F301" s="4">
        <v>56</v>
      </c>
      <c r="G301" s="5">
        <v>40375</v>
      </c>
      <c r="H301" s="5">
        <v>41374</v>
      </c>
    </row>
    <row r="302" spans="1:8" ht="45" x14ac:dyDescent="0.25">
      <c r="A302" s="4" t="s">
        <v>5</v>
      </c>
      <c r="B302" s="4" t="str">
        <f>"10-226"</f>
        <v>10-226</v>
      </c>
      <c r="C302" s="8" t="str">
        <f>HYPERLINK("https://www.fcc.gov/ecfs/search/filings?proceedings_name=10-226&amp;sort=date_disseminated,DESC")</f>
        <v>https://www.fcc.gov/ecfs/search/filings?proceedings_name=10-226&amp;sort=date_disseminated,DESC</v>
      </c>
      <c r="D302" s="8" t="str">
        <f>HYPERLINK("https://apps.fcc.gov/edocs_public/Query.do?docket=10-226")</f>
        <v>https://apps.fcc.gov/edocs_public/Query.do?docket=10-226</v>
      </c>
      <c r="E302" s="4" t="s">
        <v>313</v>
      </c>
      <c r="F302" s="4">
        <v>10</v>
      </c>
      <c r="G302" s="5">
        <v>40491</v>
      </c>
      <c r="H302" s="5">
        <v>40525</v>
      </c>
    </row>
    <row r="303" spans="1:8" ht="30" x14ac:dyDescent="0.25">
      <c r="A303" s="4" t="s">
        <v>5</v>
      </c>
      <c r="B303" s="4" t="str">
        <f>"10-251"</f>
        <v>10-251</v>
      </c>
      <c r="C303" s="8" t="str">
        <f>HYPERLINK("https://www.fcc.gov/ecfs/search/filings?proceedings_name=10-251&amp;sort=date_disseminated,DESC")</f>
        <v>https://www.fcc.gov/ecfs/search/filings?proceedings_name=10-251&amp;sort=date_disseminated,DESC</v>
      </c>
      <c r="D303" s="8" t="str">
        <f>HYPERLINK("https://apps.fcc.gov/edocs_public/Query.do?docket=10-251")</f>
        <v>https://apps.fcc.gov/edocs_public/Query.do?docket=10-251</v>
      </c>
      <c r="E303" s="4" t="s">
        <v>314</v>
      </c>
      <c r="F303" s="4">
        <v>5</v>
      </c>
      <c r="G303" s="5">
        <v>40528</v>
      </c>
      <c r="H303" s="5">
        <v>40896</v>
      </c>
    </row>
    <row r="304" spans="1:8" ht="45" x14ac:dyDescent="0.25">
      <c r="A304" s="4" t="s">
        <v>5</v>
      </c>
      <c r="B304" s="4" t="str">
        <f>"10-39"</f>
        <v>10-39</v>
      </c>
      <c r="C304" s="8" t="str">
        <f>HYPERLINK("https://www.fcc.gov/ecfs/search/filings?proceedings_name=10-39&amp;sort=date_disseminated,DESC")</f>
        <v>https://www.fcc.gov/ecfs/search/filings?proceedings_name=10-39&amp;sort=date_disseminated,DESC</v>
      </c>
      <c r="D304" s="8" t="str">
        <f>HYPERLINK("https://apps.fcc.gov/edocs_public/Query.do?docket=10-39")</f>
        <v>https://apps.fcc.gov/edocs_public/Query.do?docket=10-39</v>
      </c>
      <c r="E304" s="4" t="s">
        <v>315</v>
      </c>
      <c r="F304" s="4">
        <v>4</v>
      </c>
      <c r="G304" s="5">
        <v>40225</v>
      </c>
      <c r="H304" s="5">
        <v>40317</v>
      </c>
    </row>
    <row r="305" spans="1:8" ht="45" x14ac:dyDescent="0.25">
      <c r="A305" s="4" t="s">
        <v>5</v>
      </c>
      <c r="B305" s="4" t="str">
        <f>"10-47"</f>
        <v>10-47</v>
      </c>
      <c r="C305" s="8" t="str">
        <f>HYPERLINK("https://www.fcc.gov/ecfs/search/filings?proceedings_name=10-47&amp;sort=date_disseminated,DESC")</f>
        <v>https://www.fcc.gov/ecfs/search/filings?proceedings_name=10-47&amp;sort=date_disseminated,DESC</v>
      </c>
      <c r="D305" s="8" t="str">
        <f>HYPERLINK("https://apps.fcc.gov/edocs_public/Query.do?docket=10-47")</f>
        <v>https://apps.fcc.gov/edocs_public/Query.do?docket=10-47</v>
      </c>
      <c r="E305" s="4" t="s">
        <v>316</v>
      </c>
      <c r="F305" s="4">
        <v>7</v>
      </c>
      <c r="G305" s="5">
        <v>40228</v>
      </c>
      <c r="H305" s="5">
        <v>41373</v>
      </c>
    </row>
    <row r="306" spans="1:8" ht="30" x14ac:dyDescent="0.25">
      <c r="A306" s="4" t="s">
        <v>5</v>
      </c>
      <c r="B306" s="4" t="str">
        <f>"11-115"</f>
        <v>11-115</v>
      </c>
      <c r="C306" s="8" t="str">
        <f>HYPERLINK("https://www.fcc.gov/ecfs/search/filings?proceedings_name=11-115&amp;sort=date_disseminated,DESC")</f>
        <v>https://www.fcc.gov/ecfs/search/filings?proceedings_name=11-115&amp;sort=date_disseminated,DESC</v>
      </c>
      <c r="D306" s="8" t="str">
        <f>HYPERLINK("https://apps.fcc.gov/edocs_public/Query.do?docket=11-115")</f>
        <v>https://apps.fcc.gov/edocs_public/Query.do?docket=11-115</v>
      </c>
      <c r="E306" s="4" t="s">
        <v>317</v>
      </c>
      <c r="F306" s="4">
        <v>17</v>
      </c>
      <c r="G306" s="5">
        <v>40731</v>
      </c>
      <c r="H306" s="5">
        <v>41290</v>
      </c>
    </row>
    <row r="307" spans="1:8" ht="30" x14ac:dyDescent="0.25">
      <c r="A307" s="4" t="s">
        <v>5</v>
      </c>
      <c r="B307" s="4" t="str">
        <f>"11-118"</f>
        <v>11-118</v>
      </c>
      <c r="C307" s="8" t="str">
        <f>HYPERLINK("https://www.fcc.gov/ecfs/search/filings?proceedings_name=11-118&amp;sort=date_disseminated,DESC")</f>
        <v>https://www.fcc.gov/ecfs/search/filings?proceedings_name=11-118&amp;sort=date_disseminated,DESC</v>
      </c>
      <c r="D307" s="8" t="str">
        <f>HYPERLINK("https://apps.fcc.gov/edocs_public/Query.do?docket=11-118")</f>
        <v>https://apps.fcc.gov/edocs_public/Query.do?docket=11-118</v>
      </c>
      <c r="E307" s="4" t="s">
        <v>318</v>
      </c>
      <c r="F307" s="4">
        <v>55</v>
      </c>
      <c r="G307" s="5">
        <v>40732</v>
      </c>
      <c r="H307" s="5">
        <v>41207</v>
      </c>
    </row>
    <row r="308" spans="1:8" ht="45" x14ac:dyDescent="0.25">
      <c r="A308" s="4" t="s">
        <v>5</v>
      </c>
      <c r="B308" s="4" t="str">
        <f>"11-141"</f>
        <v>11-141</v>
      </c>
      <c r="C308" s="8" t="str">
        <f>HYPERLINK("https://www.fcc.gov/ecfs/search/filings?proceedings_name=11-141&amp;sort=date_disseminated,DESC")</f>
        <v>https://www.fcc.gov/ecfs/search/filings?proceedings_name=11-141&amp;sort=date_disseminated,DESC</v>
      </c>
      <c r="D308" s="8" t="str">
        <f>HYPERLINK("https://apps.fcc.gov/edocs_public/Query.do?docket=11-141")</f>
        <v>https://apps.fcc.gov/edocs_public/Query.do?docket=11-141</v>
      </c>
      <c r="E308" s="4" t="s">
        <v>319</v>
      </c>
      <c r="F308" s="4">
        <v>39</v>
      </c>
      <c r="G308" s="5">
        <v>40780</v>
      </c>
      <c r="H308" s="5">
        <v>41367</v>
      </c>
    </row>
    <row r="309" spans="1:8" ht="30" x14ac:dyDescent="0.25">
      <c r="A309" s="4" t="s">
        <v>5</v>
      </c>
      <c r="B309" s="4" t="str">
        <f>"11-148"</f>
        <v>11-148</v>
      </c>
      <c r="C309" s="8" t="str">
        <f>HYPERLINK("https://www.fcc.gov/ecfs/search/filings?proceedings_name=11-148&amp;sort=date_disseminated,DESC")</f>
        <v>https://www.fcc.gov/ecfs/search/filings?proceedings_name=11-148&amp;sort=date_disseminated,DESC</v>
      </c>
      <c r="D309" s="8" t="str">
        <f>HYPERLINK("https://apps.fcc.gov/edocs_public/Query.do?docket=11-148")</f>
        <v>https://apps.fcc.gov/edocs_public/Query.do?docket=11-148</v>
      </c>
      <c r="E309" s="4" t="s">
        <v>320</v>
      </c>
      <c r="F309" s="4">
        <v>18</v>
      </c>
      <c r="G309" s="5">
        <v>40795</v>
      </c>
      <c r="H309" s="5">
        <v>40970</v>
      </c>
    </row>
    <row r="310" spans="1:8" ht="30" x14ac:dyDescent="0.25">
      <c r="A310" s="4" t="s">
        <v>5</v>
      </c>
      <c r="B310" s="4" t="str">
        <f>"11-204"</f>
        <v>11-204</v>
      </c>
      <c r="C310" s="8" t="str">
        <f>HYPERLINK("https://www.fcc.gov/ecfs/search/filings?proceedings_name=11-204&amp;sort=date_disseminated,DESC")</f>
        <v>https://www.fcc.gov/ecfs/search/filings?proceedings_name=11-204&amp;sort=date_disseminated,DESC</v>
      </c>
      <c r="D310" s="8" t="str">
        <f>HYPERLINK("https://apps.fcc.gov/edocs_public/Query.do?docket=11-204")</f>
        <v>https://apps.fcc.gov/edocs_public/Query.do?docket=11-204</v>
      </c>
      <c r="E310" s="4" t="s">
        <v>321</v>
      </c>
      <c r="F310" s="4">
        <v>6</v>
      </c>
      <c r="G310" s="5">
        <v>40896</v>
      </c>
      <c r="H310" s="5">
        <v>41054</v>
      </c>
    </row>
    <row r="311" spans="1:8" ht="30" x14ac:dyDescent="0.25">
      <c r="A311" s="4" t="s">
        <v>5</v>
      </c>
      <c r="B311" s="4" t="str">
        <f>"11-3"</f>
        <v>11-3</v>
      </c>
      <c r="C311" s="8" t="str">
        <f>HYPERLINK("https://www.fcc.gov/ecfs/search/filings?proceedings_name=11-3&amp;sort=date_disseminated,DESC")</f>
        <v>https://www.fcc.gov/ecfs/search/filings?proceedings_name=11-3&amp;sort=date_disseminated,DESC</v>
      </c>
      <c r="D311" s="8" t="str">
        <f>HYPERLINK("https://apps.fcc.gov/edocs_public/Query.do?docket=11-3")</f>
        <v>https://apps.fcc.gov/edocs_public/Query.do?docket=11-3</v>
      </c>
      <c r="E311" s="4" t="s">
        <v>322</v>
      </c>
      <c r="F311" s="4">
        <v>6</v>
      </c>
      <c r="G311" s="5">
        <v>40554</v>
      </c>
      <c r="H311" s="5">
        <v>40966</v>
      </c>
    </row>
    <row r="312" spans="1:8" ht="60" x14ac:dyDescent="0.25">
      <c r="A312" s="4" t="s">
        <v>5</v>
      </c>
      <c r="B312" s="4" t="str">
        <f>"11-52"</f>
        <v>11-52</v>
      </c>
      <c r="C312" s="8" t="str">
        <f>HYPERLINK("https://www.fcc.gov/ecfs/search/filings?proceedings_name=11-52&amp;sort=date_disseminated,DESC")</f>
        <v>https://www.fcc.gov/ecfs/search/filings?proceedings_name=11-52&amp;sort=date_disseminated,DESC</v>
      </c>
      <c r="D312" s="8" t="str">
        <f>HYPERLINK("https://apps.fcc.gov/edocs_public/Query.do?docket=11-52")</f>
        <v>https://apps.fcc.gov/edocs_public/Query.do?docket=11-52</v>
      </c>
      <c r="E312" s="4" t="s">
        <v>323</v>
      </c>
      <c r="F312" s="4">
        <v>5</v>
      </c>
      <c r="G312" s="5">
        <v>40617</v>
      </c>
      <c r="H312" s="5">
        <v>41572</v>
      </c>
    </row>
    <row r="313" spans="1:8" ht="45" x14ac:dyDescent="0.25">
      <c r="A313" s="4" t="s">
        <v>5</v>
      </c>
      <c r="B313" s="4" t="str">
        <f>"12-207"</f>
        <v>12-207</v>
      </c>
      <c r="C313" s="8" t="str">
        <f>HYPERLINK("https://www.fcc.gov/ecfs/search/filings?proceedings_name=12-207&amp;sort=date_disseminated,DESC")</f>
        <v>https://www.fcc.gov/ecfs/search/filings?proceedings_name=12-207&amp;sort=date_disseminated,DESC</v>
      </c>
      <c r="D313" s="8" t="str">
        <f>HYPERLINK("https://apps.fcc.gov/edocs_public/Query.do?docket=12-207")</f>
        <v>https://apps.fcc.gov/edocs_public/Query.do?docket=12-207</v>
      </c>
      <c r="E313" s="4" t="s">
        <v>89</v>
      </c>
      <c r="F313" s="4">
        <v>9</v>
      </c>
      <c r="G313" s="5">
        <v>41116</v>
      </c>
      <c r="H313" s="5">
        <v>41666</v>
      </c>
    </row>
    <row r="314" spans="1:8" x14ac:dyDescent="0.25">
      <c r="A314" s="4" t="s">
        <v>5</v>
      </c>
      <c r="B314" s="4" t="str">
        <f>"12-369"</f>
        <v>12-369</v>
      </c>
      <c r="C314" s="8" t="str">
        <f>HYPERLINK("https://www.fcc.gov/ecfs/search/filings?proceedings_name=12-369&amp;sort=date_disseminated,DESC")</f>
        <v>https://www.fcc.gov/ecfs/search/filings?proceedings_name=12-369&amp;sort=date_disseminated,DESC</v>
      </c>
      <c r="D314" s="8" t="str">
        <f>HYPERLINK("https://apps.fcc.gov/edocs_public/Query.do?docket=12-369")</f>
        <v>https://apps.fcc.gov/edocs_public/Query.do?docket=12-369</v>
      </c>
      <c r="E314" s="4" t="s">
        <v>71</v>
      </c>
      <c r="F314" s="4">
        <v>6</v>
      </c>
      <c r="G314" s="5">
        <v>41260</v>
      </c>
      <c r="H314" s="5">
        <v>41914</v>
      </c>
    </row>
    <row r="315" spans="1:8" ht="60" x14ac:dyDescent="0.25">
      <c r="A315" s="4" t="s">
        <v>5</v>
      </c>
      <c r="B315" s="4" t="str">
        <f>"12-60"</f>
        <v>12-60</v>
      </c>
      <c r="C315" s="8" t="str">
        <f>HYPERLINK("https://www.fcc.gov/ecfs/search/filings?proceedings_name=12-60&amp;sort=date_disseminated,DESC")</f>
        <v>https://www.fcc.gov/ecfs/search/filings?proceedings_name=12-60&amp;sort=date_disseminated,DESC</v>
      </c>
      <c r="D315" s="8" t="str">
        <f>HYPERLINK("https://apps.fcc.gov/edocs_public/Query.do?docket=12-60")</f>
        <v>https://apps.fcc.gov/edocs_public/Query.do?docket=12-60</v>
      </c>
      <c r="E315" s="4" t="s">
        <v>109</v>
      </c>
      <c r="F315" s="4">
        <v>57</v>
      </c>
      <c r="G315" s="5">
        <v>40974</v>
      </c>
      <c r="H315" s="5">
        <v>41393</v>
      </c>
    </row>
    <row r="316" spans="1:8" ht="30" x14ac:dyDescent="0.25">
      <c r="A316" s="4" t="s">
        <v>5</v>
      </c>
      <c r="B316" s="4" t="str">
        <f>"13-146"</f>
        <v>13-146</v>
      </c>
      <c r="C316" s="8" t="str">
        <f>HYPERLINK("https://www.fcc.gov/ecfs/search/filings?proceedings_name=13-146&amp;sort=date_disseminated,DESC")</f>
        <v>https://www.fcc.gov/ecfs/search/filings?proceedings_name=13-146&amp;sort=date_disseminated,DESC</v>
      </c>
      <c r="D316" s="8" t="str">
        <f>HYPERLINK("https://apps.fcc.gov/edocs_public/Query.do?docket=13-146")</f>
        <v>https://apps.fcc.gov/edocs_public/Query.do?docket=13-146</v>
      </c>
      <c r="E316" s="4" t="s">
        <v>46</v>
      </c>
      <c r="F316" s="4">
        <v>3</v>
      </c>
      <c r="G316" s="5">
        <v>41432</v>
      </c>
      <c r="H316" s="5">
        <v>41536</v>
      </c>
    </row>
    <row r="317" spans="1:8" ht="30" x14ac:dyDescent="0.25">
      <c r="A317" s="4" t="s">
        <v>5</v>
      </c>
      <c r="B317" s="4" t="str">
        <f>"13-154"</f>
        <v>13-154</v>
      </c>
      <c r="C317" s="8" t="str">
        <f>HYPERLINK("https://www.fcc.gov/ecfs/search/filings?proceedings_name=13-154&amp;sort=date_disseminated,DESC")</f>
        <v>https://www.fcc.gov/ecfs/search/filings?proceedings_name=13-154&amp;sort=date_disseminated,DESC</v>
      </c>
      <c r="D317" s="8" t="str">
        <f>HYPERLINK("https://apps.fcc.gov/edocs_public/Query.do?docket=13-154")</f>
        <v>https://apps.fcc.gov/edocs_public/Query.do?docket=13-154</v>
      </c>
      <c r="E317" s="4" t="s">
        <v>44</v>
      </c>
      <c r="F317" s="4">
        <v>19</v>
      </c>
      <c r="G317" s="5">
        <v>41438</v>
      </c>
      <c r="H317" s="5">
        <v>41771</v>
      </c>
    </row>
    <row r="318" spans="1:8" ht="30" x14ac:dyDescent="0.25">
      <c r="A318" s="4" t="s">
        <v>5</v>
      </c>
      <c r="B318" s="4" t="str">
        <f>"13-155"</f>
        <v>13-155</v>
      </c>
      <c r="C318" s="8" t="str">
        <f>HYPERLINK("https://www.fcc.gov/ecfs/search/filings?proceedings_name=13-155&amp;sort=date_disseminated,DESC")</f>
        <v>https://www.fcc.gov/ecfs/search/filings?proceedings_name=13-155&amp;sort=date_disseminated,DESC</v>
      </c>
      <c r="D318" s="8" t="str">
        <f>HYPERLINK("https://apps.fcc.gov/edocs_public/Query.do?docket=13-155")</f>
        <v>https://apps.fcc.gov/edocs_public/Query.do?docket=13-155</v>
      </c>
      <c r="E318" s="4" t="s">
        <v>43</v>
      </c>
      <c r="F318" s="4">
        <v>19</v>
      </c>
      <c r="G318" s="5">
        <v>41438</v>
      </c>
      <c r="H318" s="5">
        <v>41771</v>
      </c>
    </row>
    <row r="319" spans="1:8" ht="60" x14ac:dyDescent="0.25">
      <c r="A319" s="4" t="s">
        <v>5</v>
      </c>
      <c r="B319" s="4" t="str">
        <f>"13-176"</f>
        <v>13-176</v>
      </c>
      <c r="C319" s="8" t="str">
        <f>HYPERLINK("https://www.fcc.gov/ecfs/search/filings?proceedings_name=13-176&amp;sort=date_disseminated,DESC")</f>
        <v>https://www.fcc.gov/ecfs/search/filings?proceedings_name=13-176&amp;sort=date_disseminated,DESC</v>
      </c>
      <c r="D319" s="8" t="str">
        <f>HYPERLINK("https://apps.fcc.gov/edocs_public/Query.do?docket=13-176")</f>
        <v>https://apps.fcc.gov/edocs_public/Query.do?docket=13-176</v>
      </c>
      <c r="E319" s="4" t="s">
        <v>39</v>
      </c>
      <c r="F319" s="4">
        <v>3</v>
      </c>
      <c r="G319" s="5">
        <v>41457</v>
      </c>
      <c r="H319" s="5">
        <v>41858</v>
      </c>
    </row>
    <row r="320" spans="1:8" ht="30" x14ac:dyDescent="0.25">
      <c r="A320" s="4" t="s">
        <v>5</v>
      </c>
      <c r="B320" s="4" t="str">
        <f>"13-304"</f>
        <v>13-304</v>
      </c>
      <c r="C320" s="8" t="str">
        <f>HYPERLINK("https://www.fcc.gov/ecfs/search/filings?proceedings_name=13-304&amp;sort=date_disseminated,DESC")</f>
        <v>https://www.fcc.gov/ecfs/search/filings?proceedings_name=13-304&amp;sort=date_disseminated,DESC</v>
      </c>
      <c r="D320" s="8" t="str">
        <f>HYPERLINK("https://apps.fcc.gov/edocs_public/Query.do?docket=13-304")</f>
        <v>https://apps.fcc.gov/edocs_public/Query.do?docket=13-304</v>
      </c>
      <c r="E320" s="4" t="s">
        <v>26</v>
      </c>
      <c r="F320" s="4">
        <v>4</v>
      </c>
      <c r="G320" s="5">
        <v>41625</v>
      </c>
      <c r="H320" s="5">
        <v>41739</v>
      </c>
    </row>
    <row r="321" spans="1:8" ht="45" x14ac:dyDescent="0.25">
      <c r="A321" s="4" t="s">
        <v>5</v>
      </c>
      <c r="B321" s="4" t="str">
        <f>"13-43"</f>
        <v>13-43</v>
      </c>
      <c r="C321" s="8" t="str">
        <f>HYPERLINK("https://www.fcc.gov/ecfs/search/filings?proceedings_name=13-43&amp;sort=date_disseminated,DESC")</f>
        <v>https://www.fcc.gov/ecfs/search/filings?proceedings_name=13-43&amp;sort=date_disseminated,DESC</v>
      </c>
      <c r="D321" s="8" t="str">
        <f>HYPERLINK("https://apps.fcc.gov/edocs_public/Query.do?docket=13-43")</f>
        <v>https://apps.fcc.gov/edocs_public/Query.do?docket=13-43</v>
      </c>
      <c r="E321" s="4" t="s">
        <v>67</v>
      </c>
      <c r="F321" s="4">
        <v>1</v>
      </c>
      <c r="G321" s="5">
        <v>41316</v>
      </c>
      <c r="H321" s="5">
        <v>41367</v>
      </c>
    </row>
    <row r="322" spans="1:8" ht="30" x14ac:dyDescent="0.25">
      <c r="A322" s="4" t="s">
        <v>5</v>
      </c>
      <c r="B322" s="4" t="str">
        <f>"13-55"</f>
        <v>13-55</v>
      </c>
      <c r="C322" s="8" t="str">
        <f>HYPERLINK("https://www.fcc.gov/ecfs/search/filings?proceedings_name=13-55&amp;sort=date_disseminated,DESC")</f>
        <v>https://www.fcc.gov/ecfs/search/filings?proceedings_name=13-55&amp;sort=date_disseminated,DESC</v>
      </c>
      <c r="D322" s="8" t="str">
        <f>HYPERLINK("https://apps.fcc.gov/edocs_public/Query.do?docket=13-55")</f>
        <v>https://apps.fcc.gov/edocs_public/Query.do?docket=13-55</v>
      </c>
      <c r="E322" s="4" t="s">
        <v>64</v>
      </c>
      <c r="F322" s="4">
        <v>6</v>
      </c>
      <c r="G322" s="5">
        <v>41338</v>
      </c>
      <c r="H322" s="5">
        <v>41415</v>
      </c>
    </row>
    <row r="323" spans="1:8" ht="45" x14ac:dyDescent="0.25">
      <c r="A323" s="4" t="s">
        <v>5</v>
      </c>
      <c r="B323" s="4" t="str">
        <f>"13-57"</f>
        <v>13-57</v>
      </c>
      <c r="C323" s="8" t="str">
        <f>HYPERLINK("https://www.fcc.gov/ecfs/search/filings?proceedings_name=13-57&amp;sort=date_disseminated,DESC")</f>
        <v>https://www.fcc.gov/ecfs/search/filings?proceedings_name=13-57&amp;sort=date_disseminated,DESC</v>
      </c>
      <c r="D323" s="8" t="str">
        <f>HYPERLINK("https://apps.fcc.gov/edocs_public/Query.do?docket=13-57")</f>
        <v>https://apps.fcc.gov/edocs_public/Query.do?docket=13-57</v>
      </c>
      <c r="E323" s="4" t="s">
        <v>62</v>
      </c>
      <c r="F323" s="4">
        <v>5</v>
      </c>
      <c r="G323" s="5">
        <v>41340</v>
      </c>
      <c r="H323" s="5">
        <v>41415</v>
      </c>
    </row>
    <row r="324" spans="1:8" ht="45" x14ac:dyDescent="0.25">
      <c r="A324" s="4" t="s">
        <v>5</v>
      </c>
      <c r="B324" s="4" t="str">
        <f>"13-64"</f>
        <v>13-64</v>
      </c>
      <c r="C324" s="8" t="str">
        <f>HYPERLINK("https://www.fcc.gov/ecfs/search/filings?proceedings_name=13-64&amp;sort=date_disseminated,DESC")</f>
        <v>https://www.fcc.gov/ecfs/search/filings?proceedings_name=13-64&amp;sort=date_disseminated,DESC</v>
      </c>
      <c r="D324" s="8" t="str">
        <f>HYPERLINK("https://apps.fcc.gov/edocs_public/Query.do?docket=13-64")</f>
        <v>https://apps.fcc.gov/edocs_public/Query.do?docket=13-64</v>
      </c>
      <c r="E324" s="4" t="s">
        <v>61</v>
      </c>
      <c r="F324" s="4">
        <v>3</v>
      </c>
      <c r="G324" s="5">
        <v>41341</v>
      </c>
      <c r="H324" s="5">
        <v>41389</v>
      </c>
    </row>
    <row r="325" spans="1:8" ht="15" customHeight="1" x14ac:dyDescent="0.25">
      <c r="A325" s="4" t="s">
        <v>5</v>
      </c>
      <c r="B325" s="4" t="str">
        <f>"13-71"</f>
        <v>13-71</v>
      </c>
      <c r="C325" s="8" t="str">
        <f>HYPERLINK("https://www.fcc.gov/ecfs/search/filings?proceedings_name=13-71&amp;sort=date_disseminated,DESC")</f>
        <v>https://www.fcc.gov/ecfs/search/filings?proceedings_name=13-71&amp;sort=date_disseminated,DESC</v>
      </c>
      <c r="D325" s="8" t="str">
        <f>HYPERLINK("https://apps.fcc.gov/edocs_public/Query.do?docket=13-71")</f>
        <v>https://apps.fcc.gov/edocs_public/Query.do?docket=13-71</v>
      </c>
      <c r="E325" s="4" t="s">
        <v>60</v>
      </c>
      <c r="F325" s="4">
        <v>6</v>
      </c>
      <c r="G325" s="5">
        <v>41347</v>
      </c>
      <c r="H325" s="5">
        <v>41471</v>
      </c>
    </row>
    <row r="326" spans="1:8" ht="30" x14ac:dyDescent="0.25">
      <c r="A326" s="4" t="s">
        <v>5</v>
      </c>
      <c r="B326" s="4" t="str">
        <f>"13-74"</f>
        <v>13-74</v>
      </c>
      <c r="C326" s="8" t="str">
        <f>HYPERLINK("https://www.fcc.gov/ecfs/search/filings?proceedings_name=13-74&amp;sort=date_disseminated,DESC")</f>
        <v>https://www.fcc.gov/ecfs/search/filings?proceedings_name=13-74&amp;sort=date_disseminated,DESC</v>
      </c>
      <c r="D326" s="8" t="str">
        <f>HYPERLINK("https://apps.fcc.gov/edocs_public/Query.do?docket=13-74")</f>
        <v>https://apps.fcc.gov/edocs_public/Query.do?docket=13-74</v>
      </c>
      <c r="E326" s="4" t="s">
        <v>58</v>
      </c>
      <c r="F326" s="4">
        <v>2</v>
      </c>
      <c r="G326" s="5">
        <v>41351</v>
      </c>
      <c r="H326" s="5">
        <v>41393</v>
      </c>
    </row>
    <row r="327" spans="1:8" ht="30" x14ac:dyDescent="0.25">
      <c r="A327" s="4" t="s">
        <v>5</v>
      </c>
      <c r="B327" s="4" t="str">
        <f>"13-80"</f>
        <v>13-80</v>
      </c>
      <c r="C327" s="8" t="str">
        <f>HYPERLINK("https://www.fcc.gov/ecfs/search/filings?proceedings_name=13-80&amp;sort=date_disseminated,DESC")</f>
        <v>https://www.fcc.gov/ecfs/search/filings?proceedings_name=13-80&amp;sort=date_disseminated,DESC</v>
      </c>
      <c r="D327" s="8" t="str">
        <f>HYPERLINK("https://apps.fcc.gov/edocs_public/Query.do?docket=13-80")</f>
        <v>https://apps.fcc.gov/edocs_public/Query.do?docket=13-80</v>
      </c>
      <c r="E327" s="4" t="s">
        <v>56</v>
      </c>
      <c r="F327" s="4">
        <v>9</v>
      </c>
      <c r="G327" s="5">
        <v>41355</v>
      </c>
      <c r="H327" s="5">
        <v>41428</v>
      </c>
    </row>
    <row r="328" spans="1:8" ht="45" x14ac:dyDescent="0.25">
      <c r="A328" s="4" t="s">
        <v>5</v>
      </c>
      <c r="B328" s="4" t="str">
        <f>"13-82"</f>
        <v>13-82</v>
      </c>
      <c r="C328" s="8" t="str">
        <f>HYPERLINK("https://www.fcc.gov/ecfs/search/filings?proceedings_name=13-82&amp;sort=date_disseminated,DESC")</f>
        <v>https://www.fcc.gov/ecfs/search/filings?proceedings_name=13-82&amp;sort=date_disseminated,DESC</v>
      </c>
      <c r="D328" s="8" t="str">
        <f>HYPERLINK("https://apps.fcc.gov/edocs_public/Query.do?docket=13-82")</f>
        <v>https://apps.fcc.gov/edocs_public/Query.do?docket=13-82</v>
      </c>
      <c r="E328" s="4" t="s">
        <v>54</v>
      </c>
      <c r="F328" s="4">
        <v>13</v>
      </c>
      <c r="G328" s="5">
        <v>41358</v>
      </c>
      <c r="H328" s="5">
        <v>41393</v>
      </c>
    </row>
    <row r="329" spans="1:8" ht="45" x14ac:dyDescent="0.25">
      <c r="A329" s="4" t="s">
        <v>5</v>
      </c>
      <c r="B329" s="4" t="str">
        <f>"14-23"</f>
        <v>14-23</v>
      </c>
      <c r="C329" s="8" t="str">
        <f>HYPERLINK("https://www.fcc.gov/ecfs/search/filings?proceedings_name=14-23&amp;sort=date_disseminated,DESC")</f>
        <v>https://www.fcc.gov/ecfs/search/filings?proceedings_name=14-23&amp;sort=date_disseminated,DESC</v>
      </c>
      <c r="D329" s="8" t="str">
        <f>HYPERLINK("https://apps.fcc.gov/edocs_public/Query.do?docket=14-23")</f>
        <v>https://apps.fcc.gov/edocs_public/Query.do?docket=14-23</v>
      </c>
      <c r="E329" s="4" t="s">
        <v>21</v>
      </c>
      <c r="F329" s="4">
        <v>5</v>
      </c>
      <c r="G329" s="5">
        <v>41676</v>
      </c>
      <c r="H329" s="5">
        <v>41801</v>
      </c>
    </row>
    <row r="330" spans="1:8" ht="45" x14ac:dyDescent="0.25">
      <c r="A330" s="4" t="s">
        <v>5</v>
      </c>
      <c r="B330" s="4" t="str">
        <f>"14-62"</f>
        <v>14-62</v>
      </c>
      <c r="C330" s="8" t="str">
        <f>HYPERLINK("https://www.fcc.gov/ecfs/search/filings?proceedings_name=14-62&amp;sort=date_disseminated,DESC")</f>
        <v>https://www.fcc.gov/ecfs/search/filings?proceedings_name=14-62&amp;sort=date_disseminated,DESC</v>
      </c>
      <c r="D330" s="8" t="str">
        <f>HYPERLINK("https://apps.fcc.gov/edocs_public/Query.do?docket=14-62")</f>
        <v>https://apps.fcc.gov/edocs_public/Query.do?docket=14-62</v>
      </c>
      <c r="E330" s="4" t="s">
        <v>13</v>
      </c>
      <c r="F330" s="4">
        <v>2</v>
      </c>
      <c r="G330" s="5">
        <v>41740</v>
      </c>
      <c r="H330" s="5">
        <v>41743</v>
      </c>
    </row>
    <row r="331" spans="1:8" x14ac:dyDescent="0.25">
      <c r="A331" s="4" t="s">
        <v>5</v>
      </c>
      <c r="B331" s="4" t="str">
        <f>"RM-11529"</f>
        <v>RM-11529</v>
      </c>
      <c r="C331" s="8" t="str">
        <f>HYPERLINK("https://www.fcc.gov/ecfs/search/filings?proceedings_name=RM-11529&amp;sort=date_disseminated,DESC")</f>
        <v>https://www.fcc.gov/ecfs/search/filings?proceedings_name=RM-11529&amp;sort=date_disseminated,DESC</v>
      </c>
      <c r="D331" s="8" t="str">
        <f>HYPERLINK("https://apps.fcc.gov/edocs_public/Query.do?docket=RM-11529")</f>
        <v>https://apps.fcc.gov/edocs_public/Query.do?docket=RM-11529</v>
      </c>
      <c r="E331" s="4" t="s">
        <v>136</v>
      </c>
      <c r="F331" s="4">
        <v>3</v>
      </c>
      <c r="G331" s="5">
        <v>39923</v>
      </c>
      <c r="H331" s="5">
        <v>40129</v>
      </c>
    </row>
    <row r="332" spans="1:8" x14ac:dyDescent="0.25">
      <c r="A332" s="4" t="s">
        <v>5</v>
      </c>
      <c r="B332" s="4" t="str">
        <f>"RM-11584"</f>
        <v>RM-11584</v>
      </c>
      <c r="C332" s="8" t="str">
        <f>HYPERLINK("https://www.fcc.gov/ecfs/search/filings?proceedings_name=RM-11584&amp;sort=date_disseminated,DESC")</f>
        <v>https://www.fcc.gov/ecfs/search/filings?proceedings_name=RM-11584&amp;sort=date_disseminated,DESC</v>
      </c>
      <c r="D332" s="8" t="str">
        <f>HYPERLINK("https://apps.fcc.gov/edocs_public/Query.do?docket=RM-11584")</f>
        <v>https://apps.fcc.gov/edocs_public/Query.do?docket=RM-11584</v>
      </c>
      <c r="E332" s="4" t="s">
        <v>132</v>
      </c>
      <c r="F332" s="4">
        <v>38</v>
      </c>
      <c r="G332" s="5">
        <v>40147</v>
      </c>
      <c r="H332" s="5">
        <v>40610</v>
      </c>
    </row>
  </sheetData>
  <sortState ref="A2:H332">
    <sortCondition ref="A2:A332"/>
    <sortCondition ref="B2:B332"/>
  </sortState>
  <pageMargins left="0.7" right="0.7" top="0.75" bottom="0.75" header="0.3" footer="0.3"/>
  <pageSetup scale="64" fitToHeight="0" orientation="landscape" r:id="rId1"/>
  <headerFooter>
    <oddFooter>&amp;CA-&amp;P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ECFS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Vong</dc:creator>
  <cp:lastModifiedBy>Micah Caldwell</cp:lastModifiedBy>
  <cp:lastPrinted>2017-01-09T20:23:53Z</cp:lastPrinted>
  <dcterms:created xsi:type="dcterms:W3CDTF">2016-10-27T21:17:24Z</dcterms:created>
  <dcterms:modified xsi:type="dcterms:W3CDTF">2017-01-10T18:13:43Z</dcterms:modified>
</cp:coreProperties>
</file>