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2="http://schemas.microsoft.com/office/spreadsheetml/2015/revision2" xmlns:x15="http://schemas.microsoft.com/office/spreadsheetml/2010/11/main" xmlns:xr6="http://schemas.microsoft.com/office/spreadsheetml/2016/revision6" xmlns:xr10="http://schemas.microsoft.com/office/spreadsheetml/2016/revision10" xmlns:mc="http://schemas.openxmlformats.org/markup-compatibility/2006" xmlns:xr="http://schemas.microsoft.com/office/spreadsheetml/2014/revision" mc:Ignorable="x15 xr xr6 xr10 xr2">
  <fileVersion appName="xl" lastEdited="7" lowestEdited="7" rupBuild="20730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My Documents\Files 2 4.29.14\"/>
    </mc:Choice>
  </mc:AlternateContent>
  <bookViews>
    <workbookView xWindow="0" yWindow="0" windowWidth="28800" windowHeight="11325" activeTab="0"/>
  </bookViews>
  <sheets>
    <sheet name="Instructions" sheetId="21" r:id="rId2"/>
    <sheet name="Exogenous Costs" sheetId="24" r:id="rId3"/>
    <sheet name="Factor Dev" sheetId="5" r:id="rId4"/>
    <sheet name="Study Area 1 TRP" sheetId="19" r:id="rId5"/>
    <sheet name="Study Area 2 TRP" sheetId="25" r:id="rId6"/>
    <sheet name="Study Area 3 TRP" sheetId="26" r:id="rId7"/>
    <sheet name="Study Area 4 TRP" sheetId="27" r:id="rId8"/>
    <sheet name="Holding Co TRP" sheetId="20" r:id="rId9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24" l="1"/>
</calcChain>
</file>

<file path=xl/sharedStrings.xml><?xml version="1.0" encoding="utf-8"?>
<sst xmlns="http://schemas.openxmlformats.org/spreadsheetml/2006/main" count="871" uniqueCount="185">
  <si>
    <t>Productivity Factor 
(X Factor)</t>
  </si>
  <si>
    <t>BDS costs from Original (Frozen) 2018 Cost Study</t>
  </si>
  <si>
    <t>BDS Costs from Unfrozen 2018 Cost Study</t>
  </si>
  <si>
    <t>Category Relationships Unfreeze Factor</t>
  </si>
  <si>
    <t>Service 
Category</t>
  </si>
  <si>
    <t>Net Contributor / Net Recipient Factor</t>
  </si>
  <si>
    <t>Input</t>
  </si>
  <si>
    <t>Holding Company ID</t>
  </si>
  <si>
    <t>Holding Company Name</t>
  </si>
  <si>
    <t>Service Band</t>
  </si>
  <si>
    <t>Study Area ID</t>
  </si>
  <si>
    <t>Study Area Name</t>
  </si>
  <si>
    <t xml:space="preserve">    DS1</t>
  </si>
  <si>
    <t xml:space="preserve">    DS3</t>
  </si>
  <si>
    <t>June 17, 2019 Title Title Title</t>
  </si>
  <si>
    <t>Study Area Code:</t>
  </si>
  <si>
    <t>Study Area Name:</t>
  </si>
  <si>
    <t>Category Relationship Unfreeze Factor:</t>
  </si>
  <si>
    <t>Net Contributor or Net Recipient Factor:</t>
  </si>
  <si>
    <t>Filing Date:  06/17/19</t>
  </si>
  <si>
    <t>Transmittal Number:  XXXX</t>
  </si>
  <si>
    <t>Annual Revenues</t>
  </si>
  <si>
    <t>Recurring Charges</t>
  </si>
  <si>
    <t>Tariff Rate Element</t>
  </si>
  <si>
    <t>Interstate Special Access Settlements @10.5%
7/1/18 - 12/31/18</t>
  </si>
  <si>
    <t xml:space="preserve">Filing Entity:  </t>
  </si>
  <si>
    <t>Non-recurring Charges</t>
  </si>
  <si>
    <t>Use Instructions</t>
  </si>
  <si>
    <t>File Includes the following tabs:</t>
  </si>
  <si>
    <t>Tariff Reference</t>
  </si>
  <si>
    <t>Holding Company Dashboard</t>
  </si>
  <si>
    <t>Holding Company Code:</t>
  </si>
  <si>
    <t>Holding Company Name:</t>
  </si>
  <si>
    <t xml:space="preserve">Comprised of Study Areas: </t>
  </si>
  <si>
    <t>Difference Revenue 
- Settlements</t>
  </si>
  <si>
    <t xml:space="preserve">At Adjusted Tariffed Rate </t>
  </si>
  <si>
    <t>At Proposed Rate</t>
  </si>
  <si>
    <t>Wideband Data and Wideband Analog Services</t>
  </si>
  <si>
    <t>Z</t>
  </si>
  <si>
    <t>Source</t>
  </si>
  <si>
    <t>GDP-PI Q4 2017</t>
  </si>
  <si>
    <t>GDP-PI Q4 2018</t>
  </si>
  <si>
    <t>VG</t>
  </si>
  <si>
    <t>WATS</t>
  </si>
  <si>
    <t>METAL</t>
  </si>
  <si>
    <t>** TELEGRAPH SPECIAL ACCESS SVCS **</t>
  </si>
  <si>
    <t>** METALLIC SPECIAL ACCESS SVCS**</t>
  </si>
  <si>
    <t>** WATS SPECIAL ACCESS SVCS**</t>
  </si>
  <si>
    <t>** VOICE GRADE SPECIAL ACCESS SVCS **</t>
  </si>
  <si>
    <t>Voice Grace, WATS, Metallic and Telegraph Special Access Services</t>
  </si>
  <si>
    <t>** AUDIO AND VIDEO SERVICES **</t>
  </si>
  <si>
    <t>AV</t>
  </si>
  <si>
    <t>** DS1 SPECIAL ACCESS SERVICES **</t>
  </si>
  <si>
    <t>DS1</t>
  </si>
  <si>
    <t>** DS3 SPECIAL ACCESS SERVICES **</t>
  </si>
  <si>
    <t>DS3</t>
  </si>
  <si>
    <t>Audio and Video Services</t>
  </si>
  <si>
    <t>** DDS Services **</t>
  </si>
  <si>
    <t>DDS</t>
  </si>
  <si>
    <t>** WIDEBAND DATA AND WIDEBAND ANALOG SVCS **</t>
  </si>
  <si>
    <t>WIDE</t>
  </si>
  <si>
    <t>TGR</t>
  </si>
  <si>
    <t>Example</t>
  </si>
  <si>
    <t>Example Voice Grade Special Access Svc</t>
  </si>
  <si>
    <t>Example WATS Special Access Svc</t>
  </si>
  <si>
    <t>Example Metallic Special Access Svc</t>
  </si>
  <si>
    <t>Example Telegraph Special Access Svc</t>
  </si>
  <si>
    <t>Example Audio and Video Special Access Svc</t>
  </si>
  <si>
    <t>Example DS1 Special Access Svc</t>
  </si>
  <si>
    <t>Example DS3 Special Access Svc</t>
  </si>
  <si>
    <t>Example DDS Special Access Svc</t>
  </si>
  <si>
    <t>Example Wideband Special Access Svc</t>
  </si>
  <si>
    <t>High Capacity (DS1 and DS3) + DDS</t>
  </si>
  <si>
    <t>FCC 61.45(b)(1)(iv)</t>
  </si>
  <si>
    <t>Aggregate Sum of Recurring Charges at Adjusted January 2019 Tariffed Rate For All Study Areas</t>
  </si>
  <si>
    <t>Aggregate Sum of Recurring Charges at Proposed July 2019 Tariffed Rate  For All Study Areas</t>
  </si>
  <si>
    <t>Aggregate Sum of Non-recurring Charges at Adjusted January 2019 Tariffed Rate For All Study Areas</t>
  </si>
  <si>
    <t>Aggregate Sum of Non-recurring Charges at Proposed July 2019 Tariffed Rate For All Study Areas</t>
  </si>
  <si>
    <t>** MISCELLANEOUS CHARGES **
(Access ordering, additional labor, etc.)</t>
  </si>
  <si>
    <t>Example Miscellaneous Special Access Svc</t>
  </si>
  <si>
    <t>MISC</t>
  </si>
  <si>
    <t>Annual Recurring Revenue</t>
  </si>
  <si>
    <t>Annual Non-recurring Revenue</t>
  </si>
  <si>
    <t>https://apps.bea.gov/iTable/iTable.cfm?reqid=19&amp;step=2</t>
  </si>
  <si>
    <t>Table 1.1.4. Price Indexes for Gross Domestic Product (updated 3/28/19)</t>
  </si>
  <si>
    <t>Interstate Surcharge Factor</t>
  </si>
  <si>
    <t>Total Special Access Revenues Including Interstate Surcharge</t>
  </si>
  <si>
    <t>Total Special Access Portion of Interstate FCC Form 499A</t>
  </si>
  <si>
    <t>Reg Fee</t>
  </si>
  <si>
    <t>TRS Fee</t>
  </si>
  <si>
    <t>NANPA Fee</t>
  </si>
  <si>
    <t>Incremental Exogenous Costs - BDS Non Competitive Services</t>
  </si>
  <si>
    <t>Incremental Fee Per $ Revenue</t>
  </si>
  <si>
    <t>Voice Grade, WATS, Metallic and Telegraph Special Access Services</t>
  </si>
  <si>
    <t>January 2019 Tariffed Rate (Current Rate)</t>
  </si>
  <si>
    <t>Adjusted January 2019 Tariffed Rate (Adjusted Current Rate)</t>
  </si>
  <si>
    <t>Proposed July 2019 Tariff Rate (Proposed Rate)</t>
  </si>
  <si>
    <t>Percent Rate Change
from Adjusted Current Rate to Proposed Rate</t>
  </si>
  <si>
    <t>Percent Rate Change
from Current Rate to Proposed Rate</t>
  </si>
  <si>
    <t>Average Monthly Demand Over Base Period (Calendar Year 2018)</t>
  </si>
  <si>
    <t>EXAMPLE TERM DISCOUNT PLAN
Average Monthly Demand Over Base Period (Calendar Year 2018) In a 
5-YR Term Plan Demand
(20% Discount)</t>
  </si>
  <si>
    <t>EXAMPLE TERM DISCOUNT PLAN
Average Monthly Demand Over Base Period (Calendar Year 2018) In a 
3-YR Term Plan Demand
(10% Discount)</t>
  </si>
  <si>
    <t>At Adjusted Current Rate</t>
  </si>
  <si>
    <t xml:space="preserve">Difference Proposed - Adjusted Current </t>
  </si>
  <si>
    <t>Input from 2019 FCC Form 499A</t>
  </si>
  <si>
    <t>Percent Change in GDP-PI
(GDP-PI)</t>
  </si>
  <si>
    <t>Ratio of the Sum of Annual Revenues Plus Exogenous Cost Changes to Annual Revenues 
(w)</t>
  </si>
  <si>
    <t>Cumulative Demand Over Base Period (Calendar Year 2018)</t>
  </si>
  <si>
    <t>Difference Proposed - Adjusted Current</t>
  </si>
  <si>
    <t>Total Annual Revenue</t>
  </si>
  <si>
    <t>Incremental Exogenous Costs for BDS Services
(Z)</t>
  </si>
  <si>
    <t>Test Holding Company</t>
  </si>
  <si>
    <t>Study Area 1</t>
  </si>
  <si>
    <t>Study Area 2</t>
  </si>
  <si>
    <t>Study Area 3</t>
  </si>
  <si>
    <t>Study Area 4</t>
  </si>
  <si>
    <t>Total For Holding Company</t>
  </si>
  <si>
    <t>Average Monthly Revenue</t>
  </si>
  <si>
    <t>Study Area Test Company ABC (987654)</t>
  </si>
  <si>
    <t>Study Area 1 Data</t>
  </si>
  <si>
    <t>Study Area 2 Data</t>
  </si>
  <si>
    <t>Study Area 3 Data</t>
  </si>
  <si>
    <t>Study Area 4 Data</t>
  </si>
  <si>
    <t>900001, 900002, 900003, 900004</t>
  </si>
  <si>
    <t>Sum of Recurring Charges at Adjusted Current Rates X 12</t>
  </si>
  <si>
    <t>Sum of Recurring Charges at Proposed  Rates X 12</t>
  </si>
  <si>
    <t>Sum of Non-recurring Charges at Adjusted Current Rates</t>
  </si>
  <si>
    <t>Interstate Surcharge for State or Federal Universal Service Contributions
Line 403d</t>
  </si>
  <si>
    <t>Interstate Gross Revenues
Line 420d</t>
  </si>
  <si>
    <t>Total Gross Revenues 
Line 420a</t>
  </si>
  <si>
    <t>Interstate Local Private Line and Business Data Services 
("Special Access")
Line 406d</t>
  </si>
  <si>
    <t>Sum of Study Area(s) 2018 Annual Recurring and Non-Recurring Revenues at Adjusted Current Rates 
(R)</t>
  </si>
  <si>
    <t>Individual Study Area Dashboards on Holding Co TRP Tab</t>
  </si>
  <si>
    <t>Line No.</t>
  </si>
  <si>
    <t>Total (Lines 1, 2, 5, 6 and Non-recurring Miscellaneous Charges)</t>
  </si>
  <si>
    <t>Exogenous Costs</t>
  </si>
  <si>
    <t>Factor Dev(elopment)</t>
  </si>
  <si>
    <t>Study Area 1 TRP</t>
  </si>
  <si>
    <t>Study Area 2 TRP</t>
  </si>
  <si>
    <t>Study Area 3 TRP</t>
  </si>
  <si>
    <t>Study Area 4 TRP</t>
  </si>
  <si>
    <t>Holding Company TRP</t>
  </si>
  <si>
    <t>Sum of Non-recurring Charges at Proposed Rates</t>
  </si>
  <si>
    <t>Total (Lines 1, 2, 5, 6 and Miscellaneous Charges)</t>
  </si>
  <si>
    <t>Contribution Factor Embedded in Existing Rates</t>
  </si>
  <si>
    <t>Factor</t>
  </si>
  <si>
    <t>Existing Factor Value (Illustrative)</t>
  </si>
  <si>
    <t>Source FCC Order</t>
  </si>
  <si>
    <t>Reg Fee Factor:</t>
  </si>
  <si>
    <t>TRS Factor:</t>
  </si>
  <si>
    <t>NANPA Factor:</t>
  </si>
  <si>
    <t>Revenues from BDS Ex Ante Rate Elements / Total Special Access Revenues (including DSL and ETS) from 2018</t>
  </si>
  <si>
    <t xml:space="preserve">Enter data in cells marked 'Input'.  Output fields yield values based on formulas and input data. </t>
  </si>
  <si>
    <t xml:space="preserve"> </t>
  </si>
  <si>
    <t xml:space="preserve">revise the relevant column headings to reflect these other term lengths, and revise the relevant formulas to reflect these other discounts to calculate </t>
  </si>
  <si>
    <t>the revenues for these plans.</t>
  </si>
  <si>
    <t xml:space="preserve">This BDS TRP is for carriers that establish a PCI, API, SBIs, and upper SBI limits at the holding company level.  </t>
  </si>
  <si>
    <t xml:space="preserve">The individual study area TRP is for carriers that establish PCIs, APIs, SBIs, and upper SBI limits at the study area level.  </t>
  </si>
  <si>
    <t xml:space="preserve">Enter rates as of January 1, 2019 in the relevant cells in the study area worksheets.  These worksheets adjust these rates by applying the category </t>
  </si>
  <si>
    <t>Contribution Factors for Test Period Rates (if new factors are not available at the time of the filing, enter existing factors).</t>
  </si>
  <si>
    <r>
      <t>Jan. 1, 2019 PCI
(PCI</t>
    </r>
    <r>
      <rPr>
        <b/>
        <vertAlign val="subscript"/>
        <sz val="11"/>
        <color theme="1"/>
        <rFont val="Calibri"/>
        <family val="2"/>
        <scheme val="minor"/>
      </rPr>
      <t>1/1/19</t>
    </r>
    <r>
      <rPr>
        <b/>
        <sz val="11"/>
        <color theme="1"/>
        <rFont val="Calibri"/>
        <family val="2"/>
        <scheme val="minor"/>
      </rPr>
      <t>)</t>
    </r>
  </si>
  <si>
    <t>Holding Company Level Proposed PCI:</t>
  </si>
  <si>
    <r>
      <t>Jan. 1, 2019 Service Band Index
(SBI</t>
    </r>
    <r>
      <rPr>
        <b/>
        <vertAlign val="subscript"/>
        <sz val="11"/>
        <color theme="1"/>
        <rFont val="Calibri"/>
        <family val="2"/>
        <scheme val="minor"/>
      </rPr>
      <t xml:space="preserve">1/1/19 </t>
    </r>
    <r>
      <rPr>
        <b/>
        <sz val="11"/>
        <color theme="1"/>
        <rFont val="Calibri"/>
        <family val="2"/>
        <scheme val="minor"/>
      </rPr>
      <t>for Service Bands) or Jan. 1, 2019 Actual Price Index (API</t>
    </r>
    <r>
      <rPr>
        <b/>
        <vertAlign val="subscript"/>
        <sz val="11"/>
        <color theme="1"/>
        <rFont val="Calibri"/>
        <family val="2"/>
        <scheme val="minor"/>
      </rPr>
      <t>1/1/19</t>
    </r>
    <r>
      <rPr>
        <b/>
        <sz val="11"/>
        <color theme="1"/>
        <rFont val="Calibri"/>
        <family val="2"/>
        <scheme val="minor"/>
      </rPr>
      <t xml:space="preserve"> for Total Basket)</t>
    </r>
  </si>
  <si>
    <t>Proposed Service Band Index 
(for Service Bands)
 or
Proposed Actual Price Index
 (for Total Basket)</t>
  </si>
  <si>
    <t>SBI Upper Limit (for Service Bands) 
or 
Proposed PCI (for Total Basket)</t>
  </si>
  <si>
    <t>Pass if Proposed SBI Less Than or Equal to SBI Limit, or if Proposed API Less Than or Equal To Proposed PCI</t>
  </si>
  <si>
    <r>
      <t>= SBI</t>
    </r>
    <r>
      <rPr>
        <b/>
        <vertAlign val="subscript"/>
        <sz val="11"/>
        <rFont val="Calibri"/>
        <family val="2"/>
        <scheme val="minor"/>
      </rPr>
      <t>1/1/19</t>
    </r>
    <r>
      <rPr>
        <b/>
        <sz val="11"/>
        <rFont val="Calibri"/>
        <family val="2"/>
        <scheme val="minor"/>
      </rPr>
      <t xml:space="preserve"> x (Proposed PCI/PCI</t>
    </r>
    <r>
      <rPr>
        <b/>
        <vertAlign val="subscript"/>
        <sz val="11"/>
        <rFont val="Calibri"/>
        <family val="2"/>
        <scheme val="minor"/>
      </rPr>
      <t>1/1/19</t>
    </r>
    <r>
      <rPr>
        <b/>
        <sz val="11"/>
        <rFont val="Calibri"/>
        <family val="2"/>
        <scheme val="minor"/>
      </rPr>
      <t>) x 1.05 (for Service Bands) or
= Proposed PCI (for Total Basket)</t>
    </r>
  </si>
  <si>
    <t>Holding Company Proposed PCI</t>
  </si>
  <si>
    <t>study area TRP tab.</t>
  </si>
  <si>
    <t>highlight that study area's data in the dashboard on the Holding Co TRP tab, press delete to clear the illustrative data, and then delete that entire</t>
  </si>
  <si>
    <t xml:space="preserve">relationships unfreeze and net contributor/net recipient factors, as applicable.  Only carriers in NECA's Traffic Sensitive pool in TP1819 have a net </t>
  </si>
  <si>
    <t>that did not unfreeze their category relationships should enter 1.0000 as the category relationships unfreeze factor in the relevant cell in these worksheets.</t>
  </si>
  <si>
    <t xml:space="preserve">contributor/net recipient factor.  Other carriers enter 1.0000 as the net contributor/net recipient factor in the relevant cell of these worksheets.  Carriers  </t>
  </si>
  <si>
    <t xml:space="preserve">Enter average monthly demand for monthly recurring rate elements over the entire base period and annual demand for non-recurring rate elements for </t>
  </si>
  <si>
    <t xml:space="preserve">the base period in the study area worksheets to calculate the revenues used in the price cap formulas.  These worksheets multiply monthly revenues  </t>
  </si>
  <si>
    <t>derived from monthly recurring rates and average monthly demand by 12 to obtain annual revenues.</t>
  </si>
  <si>
    <t xml:space="preserve">The term discount plans in the study area worksheets are examples.  If a carrier offers discount plans with other term lengths and/or discounts, </t>
  </si>
  <si>
    <t>Carriers that did not unfreeze their category relationships enter 1.0000 as the category relationships unfreeze factor.                         Col 15.</t>
  </si>
  <si>
    <t>NECA pool members enter settlements and revenue data in Col 16 and Col 17.
Other carriers enter 1.0000 for the Net Contributor/Net Recipient Factor in Col 19.</t>
  </si>
  <si>
    <t xml:space="preserve">Special Access Revenues 7/1/18 - 12/31/18 </t>
  </si>
  <si>
    <r>
      <t>Carriers shall reflect any exogenous cost adjustment for TRS in the TRP for the annual filing if the final contribution factor is known by May 1.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Otherwise, they </t>
    </r>
  </si>
  <si>
    <t xml:space="preserve">shall reflect this exogenous cost change in rates to become effective October 1.  In the latter case, the exogenous cost adjustment for TRS shall be “grossed up” </t>
  </si>
  <si>
    <t xml:space="preserve">to spread the entire adjustment over the remaining months in the tariff year.  The exogenous cost adjustments for NANPA and regulatory fees shall be </t>
  </si>
  <si>
    <t>reflected in rates that take effect October 1, reflecting that these fees are obligations covering a fiscal year that begins October 1.</t>
  </si>
  <si>
    <t>Current entries are illustrative.  Use actual data and modify spacing as needed.  If there are fewer than four study areas in a holding company,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</si>
</sst>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mm/dd/yy;@"/>
    <numFmt numFmtId="166" formatCode="&quot;$&quot;#,##0.00"/>
    <numFmt numFmtId="167" formatCode="#,##0.0"/>
    <numFmt numFmtId="168" formatCode="0.00000"/>
    <numFmt numFmtId="169" formatCode="0.000"/>
    <numFmt numFmtId="170" formatCode="0.0000000"/>
    <numFmt numFmtId="171" formatCode="0.0000"/>
    <numFmt numFmtId="172" formatCode="0.0000%"/>
    <numFmt numFmtId="173" formatCode="#,##0.0000"/>
    <numFmt numFmtId="174" formatCode="0.000000"/>
    <numFmt numFmtId="175" formatCode="&quot;$&quot;#,##0.000000"/>
  </numFmts>
  <fonts count="2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B05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0" tint="-0.1499900072813034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/>
      <top/>
      <bottom/>
    </border>
    <border>
      <left style="thin">
        <color auto="1"/>
      </left>
      <right/>
      <top/>
      <bottom style="thin">
        <color auto="1"/>
      </bottom>
    </border>
    <border>
      <left/>
      <right/>
      <top style="thin">
        <color auto="1"/>
      </top>
      <bottom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/>
      <bottom style="thin">
        <color auto="1"/>
      </bottom>
    </border>
  </borders>
  <cellStyleXfs count="27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43" fontId="0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>
      <alignment/>
      <protection/>
    </xf>
    <xf numFmtId="0" fontId="2" fillId="0" borderId="0">
      <alignment/>
      <protection/>
    </xf>
  </cellStyleXfs>
  <cellXfs count="332">
    <xf numFmtId="0" fontId="0" fillId="0" borderId="0" xfId="0"/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horizontal="center" wrapText="1"/>
    </xf>
    <xf numFmtId="0" fontId="9" fillId="0" borderId="0" xfId="0" applyNumberFormat="1" applyFont="1"/>
    <xf numFmtId="0" fontId="9" fillId="0" borderId="0" xfId="0" applyFont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0" fillId="0" borderId="0" xfId="0" applyFont="1"/>
    <xf numFmtId="0" fontId="5" fillId="0" borderId="1" xfId="0" applyFont="1" applyBorder="1"/>
    <xf numFmtId="0" fontId="5" fillId="0" borderId="4" xfId="0" applyFont="1" applyBorder="1"/>
    <xf numFmtId="0" fontId="5" fillId="0" borderId="5" xfId="0" applyFont="1" applyBorder="1"/>
    <xf numFmtId="166" fontId="5" fillId="2" borderId="7" xfId="0" applyNumberFormat="1" applyFont="1" applyFill="1" applyBorder="1" applyAlignment="1">
      <alignment horizontal="right" indent="1"/>
    </xf>
    <xf numFmtId="166" fontId="5" fillId="2" borderId="8" xfId="0" applyNumberFormat="1" applyFont="1" applyFill="1" applyBorder="1" applyAlignment="1">
      <alignment horizontal="right" indent="1"/>
    </xf>
    <xf numFmtId="0" fontId="10" fillId="0" borderId="0" xfId="0" applyFont="1" applyBorder="1"/>
    <xf numFmtId="0" fontId="11" fillId="0" borderId="0" xfId="0" applyNumberFormat="1" applyFont="1" applyFill="1" applyAlignment="1">
      <alignment vertic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12" fillId="0" borderId="0" xfId="0" applyFont="1"/>
    <xf numFmtId="0" fontId="2" fillId="0" borderId="0" xfId="26" applyFill="1">
      <alignment/>
      <protection/>
    </xf>
    <xf numFmtId="0" fontId="4" fillId="0" borderId="0" xfId="0" applyFont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right" indent="1"/>
    </xf>
    <xf numFmtId="0" fontId="5" fillId="0" borderId="0" xfId="0" applyFont="1"/>
    <xf numFmtId="0" fontId="10" fillId="0" borderId="0" xfId="0" applyFont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 applyBorder="1"/>
    <xf numFmtId="166" fontId="7" fillId="0" borderId="0" xfId="0" applyNumberFormat="1" applyFont="1" applyFill="1" applyAlignment="1">
      <alignment horizontal="right"/>
    </xf>
    <xf numFmtId="0" fontId="5" fillId="0" borderId="0" xfId="0" applyNumberFormat="1" applyFont="1"/>
    <xf numFmtId="0" fontId="7" fillId="0" borderId="0" xfId="0" applyFont="1" applyAlignment="1">
      <alignment wrapText="1"/>
    </xf>
    <xf numFmtId="49" fontId="8" fillId="0" borderId="0" xfId="0" applyNumberFormat="1" applyFont="1" applyBorder="1" applyAlignment="1">
      <alignment horizontal="left" wrapText="1"/>
    </xf>
    <xf numFmtId="3" fontId="7" fillId="0" borderId="0" xfId="0" applyNumberFormat="1" applyFont="1" applyFill="1"/>
    <xf numFmtId="1" fontId="7" fillId="0" borderId="0" xfId="0" applyNumberFormat="1" applyFont="1" applyFill="1"/>
    <xf numFmtId="0" fontId="7" fillId="0" borderId="0" xfId="0" applyFont="1"/>
    <xf numFmtId="0" fontId="8" fillId="0" borderId="0" xfId="0" applyFont="1" applyBorder="1" applyAlignment="1">
      <alignment horizontal="left" wrapText="1"/>
    </xf>
    <xf numFmtId="168" fontId="14" fillId="0" borderId="0" xfId="15" applyNumberFormat="1" applyFont="1" applyFill="1" applyBorder="1" applyAlignment="1">
      <alignment horizontal="left"/>
    </xf>
    <xf numFmtId="0" fontId="8" fillId="0" borderId="0" xfId="0" applyFont="1"/>
    <xf numFmtId="0" fontId="13" fillId="0" borderId="0" xfId="0" applyFont="1"/>
    <xf numFmtId="0" fontId="0" fillId="0" borderId="14" xfId="0" applyFont="1" applyBorder="1"/>
    <xf numFmtId="0" fontId="0" fillId="0" borderId="15" xfId="0" applyFont="1" applyBorder="1"/>
    <xf numFmtId="0" fontId="0" fillId="0" borderId="0" xfId="0" applyFont="1"/>
    <xf numFmtId="0" fontId="6" fillId="0" borderId="15" xfId="0" applyFont="1" applyBorder="1"/>
    <xf numFmtId="0" fontId="5" fillId="0" borderId="16" xfId="0" applyFont="1" applyBorder="1" applyAlignment="1">
      <alignment horizontal="right" indent="1"/>
    </xf>
    <xf numFmtId="169" fontId="8" fillId="0" borderId="0" xfId="0" applyNumberFormat="1" applyFont="1" applyBorder="1" applyAlignment="1">
      <alignment horizontal="left"/>
    </xf>
    <xf numFmtId="0" fontId="7" fillId="0" borderId="0" xfId="0" applyFont="1" applyBorder="1" quotePrefix="1"/>
    <xf numFmtId="0" fontId="5" fillId="0" borderId="17" xfId="0" applyFont="1" applyBorder="1" applyAlignment="1">
      <alignment horizontal="right" indent="1"/>
    </xf>
    <xf numFmtId="169" fontId="8" fillId="0" borderId="12" xfId="0" applyNumberFormat="1" applyFont="1" applyBorder="1" applyAlignment="1">
      <alignment horizontal="left"/>
    </xf>
    <xf numFmtId="166" fontId="0" fillId="0" borderId="1" xfId="0" applyNumberFormat="1" applyFont="1" applyBorder="1" applyAlignment="1">
      <alignment horizontal="right" wrapText="1"/>
    </xf>
    <xf numFmtId="166" fontId="0" fillId="0" borderId="4" xfId="0" applyNumberFormat="1" applyFont="1" applyBorder="1" applyAlignment="1">
      <alignment horizontal="right" wrapText="1"/>
    </xf>
    <xf numFmtId="171" fontId="0" fillId="0" borderId="5" xfId="0" applyNumberFormat="1" applyFont="1" applyBorder="1" applyAlignment="1">
      <alignment horizontal="right" wrapText="1"/>
    </xf>
    <xf numFmtId="171" fontId="7" fillId="0" borderId="0" xfId="0" applyNumberFormat="1" applyFont="1" applyFill="1" applyAlignment="1">
      <alignment horizontal="right"/>
    </xf>
    <xf numFmtId="0" fontId="5" fillId="0" borderId="18" xfId="0" applyFont="1" applyBorder="1" applyAlignment="1">
      <alignment horizontal="center"/>
    </xf>
    <xf numFmtId="0" fontId="0" fillId="0" borderId="0" xfId="0" quotePrefix="1"/>
    <xf numFmtId="0" fontId="0" fillId="0" borderId="12" xfId="0" applyBorder="1" quotePrefix="1"/>
    <xf numFmtId="0" fontId="5" fillId="0" borderId="0" xfId="0" applyFont="1" applyAlignment="1">
      <alignment horizontal="left"/>
    </xf>
    <xf numFmtId="166" fontId="7" fillId="0" borderId="0" xfId="0" applyNumberFormat="1" applyFont="1" applyFill="1" applyAlignment="1">
      <alignment horizontal="left"/>
    </xf>
    <xf numFmtId="171" fontId="7" fillId="0" borderId="0" xfId="0" applyNumberFormat="1" applyFont="1" applyFill="1" applyAlignment="1">
      <alignment horizontal="left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5" fillId="0" borderId="1" xfId="0" applyFont="1" applyBorder="1" applyAlignment="1" quotePrefix="1">
      <alignment horizontal="center" wrapText="1"/>
    </xf>
    <xf numFmtId="175" fontId="0" fillId="0" borderId="19" xfId="0" applyNumberFormat="1" applyBorder="1"/>
    <xf numFmtId="175" fontId="0" fillId="0" borderId="20" xfId="0" applyNumberFormat="1" applyBorder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5" xfId="0" applyFont="1" applyFill="1" applyBorder="1" applyAlignment="1">
      <alignment horizontal="center" wrapText="1"/>
    </xf>
    <xf numFmtId="0" fontId="12" fillId="0" borderId="0" xfId="26" applyFont="1" applyFill="1" applyBorder="1" applyAlignment="1">
      <alignment horizontal="center"/>
      <protection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Border="1" applyAlignment="1" quotePrefix="1">
      <alignment horizontal="center" wrapText="1"/>
    </xf>
    <xf numFmtId="0" fontId="5" fillId="0" borderId="5" xfId="0" applyFont="1" applyBorder="1" applyAlignment="1" quotePrefix="1">
      <alignment horizontal="center" wrapText="1"/>
    </xf>
    <xf numFmtId="0" fontId="0" fillId="0" borderId="4" xfId="0" applyFont="1" applyBorder="1"/>
    <xf numFmtId="171" fontId="0" fillId="0" borderId="9" xfId="0" applyNumberFormat="1" applyFont="1" applyBorder="1" applyAlignment="1">
      <alignment horizontal="right" wrapText="1"/>
    </xf>
    <xf numFmtId="0" fontId="5" fillId="0" borderId="21" xfId="0" applyFont="1" applyFill="1" applyBorder="1"/>
    <xf numFmtId="171" fontId="5" fillId="0" borderId="0" xfId="15" applyNumberFormat="1" applyFont="1" applyFill="1" applyBorder="1" applyAlignment="1">
      <alignment horizontal="right" indent="1"/>
    </xf>
    <xf numFmtId="171" fontId="8" fillId="0" borderId="0" xfId="15" applyNumberFormat="1" applyFont="1" applyFill="1" applyBorder="1" applyAlignment="1">
      <alignment horizontal="right" indent="1"/>
    </xf>
    <xf numFmtId="0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right" indent="1"/>
    </xf>
    <xf numFmtId="166" fontId="0" fillId="0" borderId="4" xfId="0" applyNumberFormat="1" applyFont="1" applyBorder="1" applyAlignment="1">
      <alignment horizontal="right" indent="1"/>
    </xf>
    <xf numFmtId="166" fontId="0" fillId="0" borderId="5" xfId="0" applyNumberFormat="1" applyFont="1" applyBorder="1" applyAlignment="1">
      <alignment horizontal="right" indent="1"/>
    </xf>
    <xf numFmtId="0" fontId="18" fillId="0" borderId="0" xfId="0" applyFont="1" applyFill="1" applyBorder="1" applyAlignment="1">
      <alignment vertical="center"/>
    </xf>
    <xf numFmtId="167" fontId="15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12" fillId="0" borderId="21" xfId="0" applyFont="1" applyBorder="1"/>
    <xf numFmtId="0" fontId="5" fillId="0" borderId="0" xfId="0" applyFont="1" applyBorder="1"/>
    <xf numFmtId="166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7" fillId="0" borderId="0" xfId="0" applyFont="1" applyBorder="1" applyAlignment="1">
      <alignment horizontal="center" wrapText="1"/>
    </xf>
    <xf numFmtId="166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0" fontId="8" fillId="0" borderId="0" xfId="0" applyFont="1" applyBorder="1" applyAlignment="1">
      <alignment/>
    </xf>
    <xf numFmtId="166" fontId="8" fillId="0" borderId="1" xfId="0" applyNumberFormat="1" applyFont="1" applyFill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3" fontId="1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 quotePrefix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168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3" fontId="20" fillId="0" borderId="1" xfId="0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66" fontId="20" fillId="0" borderId="1" xfId="0" applyNumberFormat="1" applyFont="1" applyFill="1" applyBorder="1" applyAlignment="1">
      <alignment horizontal="right" wrapText="1"/>
    </xf>
    <xf numFmtId="164" fontId="20" fillId="0" borderId="1" xfId="15" applyNumberFormat="1" applyFont="1" applyFill="1" applyBorder="1" applyAlignment="1">
      <alignment horizontal="right" wrapText="1"/>
    </xf>
    <xf numFmtId="166" fontId="7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166" fontId="2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top"/>
    </xf>
    <xf numFmtId="166" fontId="7" fillId="0" borderId="0" xfId="0" applyNumberFormat="1" applyFont="1" applyFill="1" applyAlignment="1">
      <alignment horizontal="center"/>
    </xf>
    <xf numFmtId="3" fontId="14" fillId="0" borderId="0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wrapText="1"/>
    </xf>
    <xf numFmtId="165" fontId="8" fillId="0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9" fontId="8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8" fillId="0" borderId="1" xfId="0" applyFont="1" applyBorder="1"/>
    <xf numFmtId="164" fontId="7" fillId="0" borderId="1" xfId="15" applyNumberFormat="1" applyFont="1" applyFill="1" applyBorder="1" applyAlignment="1">
      <alignment horizontal="right"/>
    </xf>
    <xf numFmtId="3" fontId="7" fillId="0" borderId="1" xfId="0" applyNumberFormat="1" applyFont="1" applyFill="1" applyBorder="1" applyProtection="1">
      <protection locked="0"/>
    </xf>
    <xf numFmtId="166" fontId="7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right"/>
    </xf>
    <xf numFmtId="166" fontId="20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/>
    <xf numFmtId="1" fontId="7" fillId="0" borderId="1" xfId="0" applyNumberFormat="1" applyFont="1" applyFill="1" applyBorder="1"/>
    <xf numFmtId="0" fontId="7" fillId="0" borderId="1" xfId="0" applyFont="1" applyBorder="1"/>
    <xf numFmtId="166" fontId="0" fillId="3" borderId="7" xfId="0" applyNumberFormat="1" applyFont="1" applyFill="1" applyBorder="1" applyAlignment="1">
      <alignment horizontal="right" wrapText="1"/>
    </xf>
    <xf numFmtId="166" fontId="0" fillId="3" borderId="22" xfId="0" applyNumberFormat="1" applyFont="1" applyFill="1" applyBorder="1" applyAlignment="1">
      <alignment horizontal="right" wrapText="1"/>
    </xf>
    <xf numFmtId="171" fontId="0" fillId="3" borderId="8" xfId="0" applyNumberFormat="1" applyFont="1" applyFill="1" applyBorder="1" applyAlignment="1">
      <alignment horizontal="right" wrapText="1"/>
    </xf>
    <xf numFmtId="171" fontId="0" fillId="3" borderId="23" xfId="0" applyNumberFormat="1" applyFont="1" applyFill="1" applyBorder="1" applyAlignment="1">
      <alignment horizontal="right" wrapText="1"/>
    </xf>
    <xf numFmtId="0" fontId="0" fillId="0" borderId="24" xfId="0" applyFont="1" applyBorder="1" applyAlignment="1">
      <alignment horizontal="left"/>
    </xf>
    <xf numFmtId="0" fontId="0" fillId="0" borderId="14" xfId="0" applyFont="1" applyBorder="1" applyAlignment="1" quotePrefix="1">
      <alignment horizontal="left"/>
    </xf>
    <xf numFmtId="0" fontId="0" fillId="0" borderId="25" xfId="0" applyBorder="1"/>
    <xf numFmtId="0" fontId="5" fillId="0" borderId="19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9" xfId="0" applyFont="1" applyBorder="1" applyAlignment="1" quotePrefix="1">
      <alignment horizontal="center" wrapText="1"/>
    </xf>
    <xf numFmtId="0" fontId="0" fillId="0" borderId="26" xfId="0" applyFont="1" applyBorder="1"/>
    <xf numFmtId="0" fontId="0" fillId="4" borderId="7" xfId="0" applyFont="1" applyFill="1" applyBorder="1" applyAlignment="1">
      <alignment horizontal="left"/>
    </xf>
    <xf numFmtId="0" fontId="0" fillId="4" borderId="22" xfId="0" applyFont="1" applyFill="1" applyBorder="1"/>
    <xf numFmtId="0" fontId="0" fillId="0" borderId="0" xfId="0" applyFill="1"/>
    <xf numFmtId="0" fontId="5" fillId="0" borderId="9" xfId="0" applyFont="1" applyBorder="1" applyAlignment="1">
      <alignment horizontal="center" wrapText="1"/>
    </xf>
    <xf numFmtId="166" fontId="0" fillId="3" borderId="1" xfId="0" applyNumberFormat="1" applyFont="1" applyFill="1" applyBorder="1" applyAlignment="1">
      <alignment horizontal="right" wrapText="1"/>
    </xf>
    <xf numFmtId="171" fontId="0" fillId="3" borderId="1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6" fontId="0" fillId="5" borderId="7" xfId="0" applyNumberFormat="1" applyFont="1" applyFill="1" applyBorder="1" applyAlignment="1">
      <alignment horizontal="right" indent="1"/>
    </xf>
    <xf numFmtId="166" fontId="0" fillId="5" borderId="8" xfId="0" applyNumberFormat="1" applyFont="1" applyFill="1" applyBorder="1" applyAlignment="1">
      <alignment horizontal="right" indent="1"/>
    </xf>
    <xf numFmtId="0" fontId="5" fillId="0" borderId="0" xfId="0" applyFont="1" applyAlignment="1">
      <alignment horizontal="right"/>
    </xf>
    <xf numFmtId="0" fontId="12" fillId="0" borderId="0" xfId="0" applyFont="1" applyBorder="1"/>
    <xf numFmtId="166" fontId="8" fillId="0" borderId="2" xfId="0" applyNumberFormat="1" applyFont="1" applyFill="1" applyBorder="1" applyAlignment="1">
      <alignment/>
    </xf>
    <xf numFmtId="0" fontId="0" fillId="0" borderId="4" xfId="0" applyFont="1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166" fontId="0" fillId="0" borderId="27" xfId="0" applyNumberFormat="1" applyFont="1" applyBorder="1" applyAlignment="1">
      <alignment horizontal="right" indent="1"/>
    </xf>
    <xf numFmtId="166" fontId="5" fillId="2" borderId="28" xfId="0" applyNumberFormat="1" applyFont="1" applyFill="1" applyBorder="1" applyAlignment="1">
      <alignment horizontal="right" indent="1"/>
    </xf>
    <xf numFmtId="0" fontId="7" fillId="0" borderId="0" xfId="0" applyNumberFormat="1" applyFont="1" applyFill="1" applyAlignment="1" quotePrefix="1">
      <alignment horizontal="left"/>
    </xf>
    <xf numFmtId="0" fontId="5" fillId="0" borderId="29" xfId="0" applyFont="1" applyFill="1" applyBorder="1" applyAlignment="1">
      <alignment horizontal="center" wrapText="1"/>
    </xf>
    <xf numFmtId="174" fontId="0" fillId="3" borderId="1" xfId="0" applyNumberFormat="1" applyFont="1" applyFill="1" applyBorder="1" applyAlignment="1">
      <alignment horizontal="right" wrapText="1"/>
    </xf>
    <xf numFmtId="0" fontId="5" fillId="0" borderId="13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6" fontId="0" fillId="0" borderId="5" xfId="0" applyNumberFormat="1" applyFont="1" applyBorder="1" applyAlignment="1">
      <alignment horizontal="right" wrapText="1"/>
    </xf>
    <xf numFmtId="174" fontId="0" fillId="0" borderId="4" xfId="0" applyNumberFormat="1" applyFont="1" applyBorder="1" applyAlignment="1">
      <alignment horizontal="right" wrapText="1"/>
    </xf>
    <xf numFmtId="174" fontId="0" fillId="0" borderId="5" xfId="0" applyNumberFormat="1" applyFont="1" applyBorder="1" applyAlignment="1">
      <alignment horizontal="right" wrapText="1"/>
    </xf>
    <xf numFmtId="166" fontId="0" fillId="0" borderId="19" xfId="0" applyNumberFormat="1" applyFont="1" applyBorder="1" applyAlignment="1">
      <alignment horizontal="right" wrapText="1"/>
    </xf>
    <xf numFmtId="166" fontId="0" fillId="4" borderId="7" xfId="0" applyNumberFormat="1" applyFont="1" applyFill="1" applyBorder="1" applyAlignment="1">
      <alignment horizontal="right" wrapText="1"/>
    </xf>
    <xf numFmtId="166" fontId="0" fillId="4" borderId="22" xfId="0" applyNumberFormat="1" applyFont="1" applyFill="1" applyBorder="1" applyAlignment="1">
      <alignment horizontal="right" wrapText="1"/>
    </xf>
    <xf numFmtId="166" fontId="0" fillId="4" borderId="8" xfId="0" applyNumberFormat="1" applyFont="1" applyFill="1" applyBorder="1" applyAlignment="1">
      <alignment horizontal="right" wrapText="1"/>
    </xf>
    <xf numFmtId="174" fontId="0" fillId="4" borderId="7" xfId="0" applyNumberFormat="1" applyFont="1" applyFill="1" applyBorder="1" applyAlignment="1">
      <alignment horizontal="right" wrapText="1"/>
    </xf>
    <xf numFmtId="174" fontId="0" fillId="4" borderId="8" xfId="0" applyNumberFormat="1" applyFont="1" applyFill="1" applyBorder="1" applyAlignment="1">
      <alignment horizontal="right" wrapText="1"/>
    </xf>
    <xf numFmtId="166" fontId="0" fillId="4" borderId="20" xfId="0" applyNumberFormat="1" applyFont="1" applyFill="1" applyBorder="1" applyAlignment="1">
      <alignment horizontal="right" wrapText="1"/>
    </xf>
    <xf numFmtId="0" fontId="0" fillId="0" borderId="9" xfId="0" applyFont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166" fontId="0" fillId="0" borderId="0" xfId="0" applyNumberFormat="1" applyFont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66" fontId="0" fillId="3" borderId="4" xfId="0" applyNumberFormat="1" applyFont="1" applyFill="1" applyBorder="1" applyAlignment="1">
      <alignment horizontal="right" wrapText="1"/>
    </xf>
    <xf numFmtId="173" fontId="7" fillId="3" borderId="5" xfId="0" applyNumberFormat="1" applyFont="1" applyFill="1" applyBorder="1" applyAlignment="1">
      <alignment horizontal="right" wrapText="1"/>
    </xf>
    <xf numFmtId="172" fontId="7" fillId="4" borderId="7" xfId="0" applyNumberFormat="1" applyFont="1" applyFill="1" applyBorder="1" applyAlignment="1">
      <alignment horizontal="right" wrapText="1"/>
    </xf>
    <xf numFmtId="172" fontId="0" fillId="4" borderId="22" xfId="15" applyNumberFormat="1" applyFont="1" applyFill="1" applyBorder="1" applyAlignment="1">
      <alignment horizontal="right" wrapText="1"/>
    </xf>
    <xf numFmtId="166" fontId="0" fillId="4" borderId="22" xfId="0" applyNumberFormat="1" applyFont="1" applyFill="1" applyBorder="1" applyAlignment="1">
      <alignment horizontal="right" wrapText="1" indent="1"/>
    </xf>
    <xf numFmtId="171" fontId="0" fillId="4" borderId="22" xfId="0" applyNumberFormat="1" applyFill="1" applyBorder="1"/>
    <xf numFmtId="171" fontId="0" fillId="4" borderId="22" xfId="0" applyNumberFormat="1" applyFont="1" applyFill="1" applyBorder="1" applyAlignment="1">
      <alignment horizontal="right" wrapText="1"/>
    </xf>
    <xf numFmtId="173" fontId="7" fillId="4" borderId="8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5" fillId="0" borderId="15" xfId="0" applyFont="1" applyBorder="1" applyAlignment="1">
      <alignment horizontal="center"/>
    </xf>
    <xf numFmtId="171" fontId="7" fillId="0" borderId="0" xfId="0" applyNumberFormat="1" applyFont="1" applyAlignment="1">
      <alignment wrapText="1"/>
    </xf>
    <xf numFmtId="0" fontId="0" fillId="0" borderId="33" xfId="0" applyFont="1" applyBorder="1"/>
    <xf numFmtId="0" fontId="0" fillId="0" borderId="33" xfId="0" applyFont="1" applyBorder="1" applyAlignment="1">
      <alignment wrapText="1"/>
    </xf>
    <xf numFmtId="0" fontId="5" fillId="5" borderId="34" xfId="0" applyFont="1" applyFill="1" applyBorder="1"/>
    <xf numFmtId="0" fontId="5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9" fillId="0" borderId="0" xfId="0" applyNumberFormat="1" applyFont="1" applyAlignment="1">
      <alignment horizontal="left"/>
    </xf>
    <xf numFmtId="0" fontId="20" fillId="0" borderId="0" xfId="0" applyNumberFormat="1" applyFont="1" applyFill="1" applyAlignment="1">
      <alignment vertical="center"/>
    </xf>
    <xf numFmtId="0" fontId="5" fillId="0" borderId="25" xfId="0" applyFont="1" applyBorder="1" applyAlignment="1">
      <alignment wrapText="1"/>
    </xf>
    <xf numFmtId="174" fontId="0" fillId="0" borderId="19" xfId="0" applyNumberFormat="1" applyFont="1" applyBorder="1" applyAlignment="1">
      <alignment horizontal="right" wrapText="1"/>
    </xf>
    <xf numFmtId="174" fontId="0" fillId="4" borderId="20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166" fontId="20" fillId="0" borderId="0" xfId="0" applyNumberFormat="1" applyFont="1" applyFill="1" applyBorder="1" applyAlignment="1">
      <alignment horizontal="right" wrapText="1"/>
    </xf>
    <xf numFmtId="164" fontId="20" fillId="0" borderId="0" xfId="15" applyNumberFormat="1" applyFont="1" applyFill="1" applyBorder="1" applyAlignment="1">
      <alignment horizontal="right" wrapText="1"/>
    </xf>
    <xf numFmtId="3" fontId="20" fillId="0" borderId="0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right" wrapText="1"/>
    </xf>
    <xf numFmtId="0" fontId="8" fillId="0" borderId="33" xfId="0" applyFont="1" applyBorder="1" applyAlignment="1">
      <alignment horizontal="center"/>
    </xf>
    <xf numFmtId="171" fontId="0" fillId="0" borderId="33" xfId="15" applyNumberFormat="1" applyFont="1" applyBorder="1" applyAlignment="1">
      <alignment horizontal="right" indent="1"/>
    </xf>
    <xf numFmtId="171" fontId="0" fillId="5" borderId="34" xfId="15" applyNumberFormat="1" applyFont="1" applyFill="1" applyBorder="1" applyAlignment="1">
      <alignment horizontal="right" indent="1"/>
    </xf>
    <xf numFmtId="0" fontId="8" fillId="0" borderId="19" xfId="0" applyFont="1" applyBorder="1" applyAlignment="1">
      <alignment horizontal="center" wrapText="1"/>
    </xf>
    <xf numFmtId="171" fontId="0" fillId="0" borderId="19" xfId="15" applyNumberFormat="1" applyFont="1" applyBorder="1" applyAlignment="1">
      <alignment horizontal="right" indent="1"/>
    </xf>
    <xf numFmtId="0" fontId="0" fillId="0" borderId="33" xfId="0" applyFont="1" applyBorder="1" applyAlignment="1">
      <alignment horizontal="center"/>
    </xf>
    <xf numFmtId="0" fontId="7" fillId="0" borderId="25" xfId="0" applyFont="1" applyBorder="1"/>
    <xf numFmtId="0" fontId="7" fillId="0" borderId="19" xfId="0" applyFont="1" applyBorder="1"/>
    <xf numFmtId="0" fontId="7" fillId="0" borderId="20" xfId="0" applyFont="1" applyBorder="1"/>
    <xf numFmtId="0" fontId="5" fillId="0" borderId="0" xfId="0" applyFont="1" applyFill="1" applyBorder="1"/>
    <xf numFmtId="171" fontId="0" fillId="0" borderId="0" xfId="15" applyNumberFormat="1" applyFont="1" applyFill="1" applyBorder="1" applyAlignment="1">
      <alignment horizontal="right" indent="1"/>
    </xf>
    <xf numFmtId="0" fontId="0" fillId="0" borderId="0" xfId="0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wrapText="1"/>
    </xf>
    <xf numFmtId="0" fontId="22" fillId="0" borderId="0" xfId="0" applyNumberFormat="1" applyFont="1" applyFill="1" applyAlignment="1">
      <alignment vertical="center" wrapText="1"/>
    </xf>
    <xf numFmtId="0" fontId="8" fillId="0" borderId="0" xfId="26" applyFont="1" applyFill="1" applyBorder="1" applyAlignment="1">
      <alignment horizontal="left" vertical="top" wrapText="1"/>
      <protection/>
    </xf>
    <xf numFmtId="0" fontId="2" fillId="0" borderId="25" xfId="26" applyFill="1" applyBorder="1">
      <alignment/>
      <protection/>
    </xf>
    <xf numFmtId="0" fontId="6" fillId="0" borderId="4" xfId="0" applyFont="1" applyBorder="1" applyAlignment="1">
      <alignment horizontal="center" wrapText="1"/>
    </xf>
    <xf numFmtId="0" fontId="8" fillId="0" borderId="1" xfId="26" applyFont="1" applyFill="1" applyBorder="1" applyAlignment="1">
      <alignment horizontal="center" wrapText="1"/>
      <protection/>
    </xf>
    <xf numFmtId="0" fontId="8" fillId="0" borderId="5" xfId="26" applyFont="1" applyFill="1" applyBorder="1" applyAlignment="1">
      <alignment horizontal="center" wrapText="1"/>
      <protection/>
    </xf>
    <xf numFmtId="0" fontId="8" fillId="0" borderId="4" xfId="26" applyFont="1" applyFill="1" applyBorder="1">
      <alignment/>
      <protection/>
    </xf>
    <xf numFmtId="168" fontId="8" fillId="0" borderId="1" xfId="26" applyNumberFormat="1" applyFont="1" applyFill="1" applyBorder="1" applyAlignment="1">
      <alignment vertical="top"/>
      <protection/>
    </xf>
    <xf numFmtId="0" fontId="8" fillId="0" borderId="5" xfId="26" applyFont="1" applyFill="1" applyBorder="1">
      <alignment/>
      <protection/>
    </xf>
    <xf numFmtId="168" fontId="8" fillId="0" borderId="1" xfId="26" applyNumberFormat="1" applyFont="1" applyFill="1" applyBorder="1">
      <alignment/>
      <protection/>
    </xf>
    <xf numFmtId="0" fontId="8" fillId="0" borderId="7" xfId="26" applyFont="1" applyFill="1" applyBorder="1">
      <alignment/>
      <protection/>
    </xf>
    <xf numFmtId="170" fontId="8" fillId="0" borderId="22" xfId="26" applyNumberFormat="1" applyFont="1" applyFill="1" applyBorder="1">
      <alignment/>
      <protection/>
    </xf>
    <xf numFmtId="0" fontId="8" fillId="0" borderId="8" xfId="26" applyFont="1" applyFill="1" applyBorder="1">
      <alignment/>
      <protection/>
    </xf>
    <xf numFmtId="0" fontId="22" fillId="0" borderId="0" xfId="0" applyNumberFormat="1" applyFont="1" applyFill="1" applyAlignment="1">
      <alignment vertical="center"/>
    </xf>
    <xf numFmtId="0" fontId="23" fillId="0" borderId="0" xfId="0" applyFont="1"/>
    <xf numFmtId="0" fontId="24" fillId="0" borderId="0" xfId="0" applyFont="1"/>
    <xf numFmtId="0" fontId="0" fillId="0" borderId="0" xfId="0" applyFont="1" applyFill="1"/>
    <xf numFmtId="0" fontId="0" fillId="0" borderId="0" xfId="0" applyFill="1" applyAlignment="1">
      <alignment vertical="center"/>
    </xf>
    <xf numFmtId="0" fontId="8" fillId="0" borderId="0" xfId="26" applyFont="1" applyFill="1" applyBorder="1" applyAlignment="1">
      <alignment vertical="top" wrapText="1"/>
      <protection/>
    </xf>
    <xf numFmtId="0" fontId="24" fillId="0" borderId="0" xfId="0" applyFont="1" applyFill="1"/>
    <xf numFmtId="0" fontId="5" fillId="0" borderId="6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171" fontId="5" fillId="0" borderId="22" xfId="15" applyNumberFormat="1" applyFont="1" applyFill="1" applyBorder="1" applyAlignment="1">
      <alignment horizontal="right" indent="1"/>
    </xf>
    <xf numFmtId="0" fontId="8" fillId="0" borderId="1" xfId="0" applyFont="1" applyFill="1" applyBorder="1" applyAlignment="1" quotePrefix="1">
      <alignment horizontal="center" wrapText="1"/>
    </xf>
    <xf numFmtId="171" fontId="0" fillId="0" borderId="9" xfId="15" applyNumberFormat="1" applyFont="1" applyFill="1" applyBorder="1" applyAlignment="1">
      <alignment horizontal="right" indent="1"/>
    </xf>
    <xf numFmtId="171" fontId="0" fillId="0" borderId="23" xfId="15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8" fillId="0" borderId="0" xfId="26" applyFont="1" applyFill="1" applyBorder="1" applyAlignment="1">
      <alignment horizontal="center"/>
      <protection/>
    </xf>
    <xf numFmtId="49" fontId="0" fillId="4" borderId="23" xfId="0" applyNumberFormat="1" applyFill="1" applyBorder="1" applyAlignment="1">
      <alignment horizontal="left"/>
    </xf>
    <xf numFmtId="49" fontId="0" fillId="4" borderId="38" xfId="0" applyNumberFormat="1" applyFill="1" applyBorder="1" applyAlignment="1">
      <alignment horizontal="left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0" fillId="4" borderId="28" xfId="0" applyNumberFormat="1" applyFill="1" applyBorder="1" applyAlignment="1">
      <alignment horizontal="left"/>
    </xf>
    <xf numFmtId="0" fontId="9" fillId="0" borderId="0" xfId="0" applyNumberFormat="1" applyFont="1" applyAlignment="1">
      <alignment horizontal="left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2" borderId="43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8" fillId="2" borderId="46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166" fontId="8" fillId="0" borderId="40" xfId="0" applyNumberFormat="1" applyFont="1" applyFill="1" applyBorder="1" applyAlignment="1">
      <alignment horizontal="center"/>
    </xf>
    <xf numFmtId="166" fontId="8" fillId="0" borderId="4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6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 wrapText="1"/>
    </xf>
    <xf numFmtId="0" fontId="8" fillId="0" borderId="39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166" fontId="8" fillId="0" borderId="35" xfId="0" applyNumberFormat="1" applyFont="1" applyFill="1" applyBorder="1" applyAlignment="1">
      <alignment horizontal="center"/>
    </xf>
    <xf numFmtId="166" fontId="8" fillId="0" borderId="36" xfId="0" applyNumberFormat="1" applyFont="1" applyFill="1" applyBorder="1" applyAlignment="1">
      <alignment horizontal="center"/>
    </xf>
    <xf numFmtId="166" fontId="8" fillId="0" borderId="37" xfId="0" applyNumberFormat="1" applyFont="1" applyFill="1" applyBorder="1" applyAlignment="1">
      <alignment horizontal="center"/>
    </xf>
    <xf numFmtId="166" fontId="8" fillId="0" borderId="39" xfId="0" applyNumberFormat="1" applyFont="1" applyFill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0" xfId="0" applyNumberFormat="1" applyFont="1" applyAlignment="1">
      <alignment horizontal="left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25" fillId="0" borderId="0" xfId="0" applyNumberFormat="1" applyFont="1" applyFill="1" applyAlignment="1">
      <alignment vertical="center"/>
    </xf>
  </cellXfs>
  <cellStyles count="13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Comma 5" xfId="21"/>
    <cellStyle name="Comma 2" xfId="22"/>
    <cellStyle name="Percent 2" xfId="23"/>
    <cellStyle name="Currency 2" xfId="24"/>
    <cellStyle name="Normal 3" xfId="25"/>
    <cellStyle name="Normal_CBTC prelim AN11" xfId="26"/>
  </cellStyles>
  <dxfs count="6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11" Type="http://schemas.openxmlformats.org/officeDocument/2006/relationships/sharedStrings" Target="sharedStrings.xml" /><Relationship Id="rId10" Type="http://schemas.openxmlformats.org/officeDocument/2006/relationships/styles" Target="styles.xml" /><Relationship Id="rId12" Type="http://schemas.openxmlformats.org/officeDocument/2006/relationships/calcChain" Target="calcChain.xml" /><Relationship Id="rId9" Type="http://schemas.openxmlformats.org/officeDocument/2006/relationships/worksheet" Target="worksheets/sheet8.xml" /><Relationship Id="rId5" Type="http://schemas.openxmlformats.org/officeDocument/2006/relationships/worksheet" Target="worksheets/sheet4.xml" /><Relationship Id="rId6" Type="http://schemas.openxmlformats.org/officeDocument/2006/relationships/worksheet" Target="worksheets/sheet5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3"/>
  <sheetViews>
    <sheetView tabSelected="1" workbookViewId="0" topLeftCell="A1"/>
  </sheetViews>
  <sheetFormatPr defaultColWidth="9.145" defaultRowHeight="15"/>
  <cols>
    <col min="1" max="1" width="144.25" style="48" customWidth="1"/>
    <col min="2" max="16384" width="9.125" style="48"/>
  </cols>
  <sheetData>
    <row r="1" spans="1:1" ht="18.75">
      <c r="A1" s="18" t="s">
        <v>27</v>
      </c>
    </row>
    <row r="2" spans="1:1" ht="15">
      <c r="A2" s="228"/>
    </row>
    <row r="3" spans="1:1" ht="15.75" customHeight="1">
      <c r="A3" s="253" t="s">
        <v>156</v>
      </c>
    </row>
    <row r="4" spans="1:1" ht="15.75" customHeight="1">
      <c r="A4" s="253" t="s">
        <v>157</v>
      </c>
    </row>
    <row r="5" spans="1:1" ht="15.75" customHeight="1">
      <c r="A5" s="272"/>
    </row>
    <row r="6" spans="1:1" ht="15.75" customHeight="1">
      <c r="A6" s="331" t="s">
        <v>184</v>
      </c>
    </row>
    <row r="7" spans="1:1" ht="15.75" customHeight="1">
      <c r="A7" s="266" t="s">
        <v>169</v>
      </c>
    </row>
    <row r="8" spans="1:1" ht="15.75" customHeight="1">
      <c r="A8" s="266" t="s">
        <v>168</v>
      </c>
    </row>
    <row r="9" spans="1:1" ht="15.75" customHeight="1">
      <c r="A9" s="253"/>
    </row>
    <row r="10" spans="1:1" ht="15.75" customHeight="1">
      <c r="A10" s="253" t="s">
        <v>152</v>
      </c>
    </row>
    <row r="11" spans="1:1" ht="15.75" customHeight="1">
      <c r="A11" s="253"/>
    </row>
    <row r="12" spans="1:1" ht="15.75" customHeight="1">
      <c r="A12" s="266" t="s">
        <v>158</v>
      </c>
    </row>
    <row r="13" spans="1:1" ht="15.75" customHeight="1">
      <c r="A13" s="272" t="s">
        <v>170</v>
      </c>
    </row>
    <row r="14" spans="1:1" ht="15.75" customHeight="1">
      <c r="A14" s="266" t="s">
        <v>172</v>
      </c>
    </row>
    <row r="15" spans="1:1" ht="15.75" customHeight="1">
      <c r="A15" s="266" t="s">
        <v>171</v>
      </c>
    </row>
    <row r="16" spans="1:1" ht="15.75" customHeight="1">
      <c r="A16" s="253" t="s">
        <v>153</v>
      </c>
    </row>
    <row r="17" spans="1:1" ht="15.75" customHeight="1">
      <c r="A17" s="266" t="s">
        <v>173</v>
      </c>
    </row>
    <row r="18" spans="1:1" ht="15.75" customHeight="1">
      <c r="A18" s="266" t="s">
        <v>174</v>
      </c>
    </row>
    <row r="19" spans="1:1" ht="15.75" customHeight="1">
      <c r="A19" s="266" t="s">
        <v>175</v>
      </c>
    </row>
    <row r="20" spans="1:1" ht="15.75" customHeight="1">
      <c r="A20" s="272"/>
    </row>
    <row r="21" spans="1:1" ht="15.75" customHeight="1">
      <c r="A21" s="253" t="s">
        <v>176</v>
      </c>
    </row>
    <row r="22" spans="1:1" ht="15.75" customHeight="1">
      <c r="A22" s="253" t="s">
        <v>154</v>
      </c>
    </row>
    <row r="23" spans="1:1" ht="15.75" customHeight="1">
      <c r="A23" s="266" t="s">
        <v>155</v>
      </c>
    </row>
    <row r="24" spans="1:1" ht="15.75" customHeight="1">
      <c r="A24" s="253"/>
    </row>
    <row r="25" spans="1:9" s="1" customFormat="1" ht="15.75" customHeight="1">
      <c r="A25" s="270" t="s">
        <v>180</v>
      </c>
      <c r="B25" s="253"/>
      <c r="C25" s="253"/>
      <c r="D25" s="253"/>
      <c r="E25" s="253"/>
      <c r="F25" s="253"/>
      <c r="G25" s="253"/>
      <c r="H25" s="253"/>
      <c r="I25" s="253"/>
    </row>
    <row r="26" spans="1:9" s="1" customFormat="1" ht="15.75" customHeight="1">
      <c r="A26" s="280" t="s">
        <v>181</v>
      </c>
      <c r="B26" s="253"/>
      <c r="C26" s="253"/>
      <c r="D26" s="253"/>
      <c r="E26" s="253"/>
      <c r="F26" s="253"/>
      <c r="G26" s="253"/>
      <c r="H26" s="253"/>
      <c r="I26" s="253"/>
    </row>
    <row r="27" spans="1:1" ht="15.75" customHeight="1">
      <c r="A27" s="270" t="s">
        <v>182</v>
      </c>
    </row>
    <row r="28" spans="1:1" ht="15.75" customHeight="1">
      <c r="A28" s="270" t="s">
        <v>183</v>
      </c>
    </row>
    <row r="29" spans="1:1" ht="15.75" customHeight="1">
      <c r="A29" s="280"/>
    </row>
    <row r="30" spans="1:1" ht="15.75" customHeight="1">
      <c r="A30" s="280"/>
    </row>
    <row r="31" spans="1:1" ht="15.75" customHeight="1">
      <c r="A31" s="267" t="s">
        <v>28</v>
      </c>
    </row>
    <row r="32" spans="1:1" ht="15.75" customHeight="1">
      <c r="A32" s="268" t="s">
        <v>135</v>
      </c>
    </row>
    <row r="33" spans="1:1" ht="15.75" customHeight="1">
      <c r="A33" s="268" t="s">
        <v>136</v>
      </c>
    </row>
    <row r="34" spans="1:1" ht="15.75" customHeight="1">
      <c r="A34" s="268" t="s">
        <v>137</v>
      </c>
    </row>
    <row r="35" spans="1:1" ht="15.75" customHeight="1">
      <c r="A35" s="268" t="s">
        <v>138</v>
      </c>
    </row>
    <row r="36" spans="1:1" ht="15.75" customHeight="1">
      <c r="A36" s="268" t="s">
        <v>139</v>
      </c>
    </row>
    <row r="37" spans="1:1" ht="15.75" customHeight="1">
      <c r="A37" s="268" t="s">
        <v>140</v>
      </c>
    </row>
    <row r="38" spans="1:1" ht="15.75" customHeight="1">
      <c r="A38" s="268" t="s">
        <v>141</v>
      </c>
    </row>
    <row r="39" ht="15.75" customHeight="1"/>
    <row r="40" ht="15.75" customHeight="1"/>
    <row r="41" spans="1:1" ht="15.75" customHeight="1">
      <c r="A41" s="253"/>
    </row>
    <row r="42" spans="1:1" ht="15.75" customHeight="1">
      <c r="A42" s="253"/>
    </row>
    <row r="43" spans="1:1" ht="15.75" customHeight="1">
      <c r="A43" s="253"/>
    </row>
    <row r="44" spans="1:1" ht="15.75" customHeight="1">
      <c r="A44" s="266"/>
    </row>
    <row r="45" spans="1:1" ht="15.75">
      <c r="A45" s="253"/>
    </row>
    <row r="46" spans="1:1" ht="15.75">
      <c r="A46" s="253"/>
    </row>
    <row r="47" spans="1:1" ht="15.75">
      <c r="A47" s="253"/>
    </row>
    <row r="48" spans="1:1" ht="15.75">
      <c r="A48" s="266"/>
    </row>
    <row r="49" spans="1:1" ht="15">
      <c r="A49" s="165"/>
    </row>
    <row r="50" spans="1:1" ht="15.75">
      <c r="A50" s="266"/>
    </row>
    <row r="51" spans="1:1" ht="15.75">
      <c r="A51" s="266"/>
    </row>
    <row r="52" spans="1:1" ht="15.75">
      <c r="A52" s="253"/>
    </row>
    <row r="53" spans="1:1" ht="15.75">
      <c r="A53" s="266"/>
    </row>
    <row r="54" spans="1:1" ht="15.75">
      <c r="A54" s="266"/>
    </row>
    <row r="55" spans="1:1" ht="15.75">
      <c r="A55" s="266"/>
    </row>
    <row r="56" spans="1:1" ht="15">
      <c r="A56" s="269"/>
    </row>
    <row r="57" spans="1:1" ht="15.75">
      <c r="A57" s="253"/>
    </row>
    <row r="58" spans="1:1" ht="15.75">
      <c r="A58" s="253"/>
    </row>
    <row r="59" spans="1:1" ht="15.75">
      <c r="A59" s="266"/>
    </row>
    <row r="60" spans="1:1" ht="15.75">
      <c r="A60" s="253"/>
    </row>
    <row r="61" spans="1:1" ht="15">
      <c r="A61" s="270"/>
    </row>
    <row r="62" spans="1:1" ht="15.75">
      <c r="A62" s="253"/>
    </row>
    <row r="63" spans="1:1" ht="15">
      <c r="A63" s="165"/>
    </row>
    <row r="64" spans="1:1" ht="15.75">
      <c r="A64" s="253"/>
    </row>
    <row r="65" spans="1:1" ht="15">
      <c r="A65" s="165"/>
    </row>
    <row r="66" spans="1:1" ht="15">
      <c r="A66" s="269"/>
    </row>
    <row r="67" spans="1:1" ht="15">
      <c r="A67" s="269"/>
    </row>
    <row r="68" spans="1:1" ht="15">
      <c r="A68" s="269"/>
    </row>
    <row r="69" spans="1:1" ht="15">
      <c r="A69" s="269"/>
    </row>
    <row r="70" spans="1:1" ht="15">
      <c r="A70" s="269"/>
    </row>
    <row r="71" spans="1:1" ht="15">
      <c r="A71" s="269"/>
    </row>
    <row r="72" spans="1:1" ht="15">
      <c r="A72" s="269"/>
    </row>
    <row r="73" spans="1:1" ht="15">
      <c r="A73" s="269"/>
    </row>
  </sheetData>
  <pageMargins left="0.25" right="0.25" top="0.75" bottom="0.75" header="0.3" footer="0.3"/>
  <pageSetup fitToHeight="0" orientation="landscape" paperSize="5" r:id="rId1"/>
  <headerFooter>
    <oddFooter>&amp;L&amp;Z&amp;F\&amp;A&amp;R&amp;D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CEFD-6DCB-4A94-9DA7-0EF7E848680B}">
  <sheetPr>
    <pageSetUpPr fitToPage="1"/>
  </sheetPr>
  <dimension ref="A1:R25"/>
  <sheetViews>
    <sheetView zoomScale="80" zoomScaleNormal="80" workbookViewId="0" topLeftCell="A1"/>
  </sheetViews>
  <sheetFormatPr defaultRowHeight="15.75"/>
  <cols>
    <col min="1" max="1" width="26.125" style="24" customWidth="1"/>
    <col min="2" max="2" width="26.875" style="24" customWidth="1"/>
    <col min="3" max="3" width="20.25" style="24" customWidth="1"/>
    <col min="4" max="4" width="31.375" style="24" customWidth="1"/>
    <col min="5" max="7" width="20.625" style="24" customWidth="1"/>
    <col min="8" max="8" width="23.125" style="24" customWidth="1"/>
    <col min="9" max="31" width="20.625" style="1" customWidth="1"/>
    <col min="32" max="254" width="8.875" style="1"/>
    <col min="255" max="255" width="13.625" style="1" customWidth="1"/>
    <col min="256" max="256" width="14.375" style="1" customWidth="1"/>
    <col min="257" max="257" width="27.625" style="1" customWidth="1"/>
    <col min="258" max="258" width="19.125" style="1" customWidth="1"/>
    <col min="259" max="259" width="23.375" style="1" customWidth="1"/>
    <col min="260" max="260" width="20.625" style="1" customWidth="1"/>
    <col min="261" max="261" width="23.125" style="1" customWidth="1"/>
    <col min="262" max="262" width="24" style="1" customWidth="1"/>
    <col min="263" max="263" width="17" style="1" customWidth="1"/>
    <col min="264" max="264" width="8.875" style="1"/>
    <col min="265" max="265" width="16" style="1" customWidth="1"/>
    <col min="266" max="266" width="16.75" style="1" customWidth="1"/>
    <col min="267" max="267" width="13.375" style="1" customWidth="1"/>
    <col min="268" max="510" width="8.875" style="1"/>
    <col min="511" max="511" width="13.625" style="1" customWidth="1"/>
    <col min="512" max="512" width="14.375" style="1" customWidth="1"/>
    <col min="513" max="513" width="27.625" style="1" customWidth="1"/>
    <col min="514" max="514" width="19.125" style="1" customWidth="1"/>
    <col min="515" max="515" width="23.375" style="1" customWidth="1"/>
    <col min="516" max="516" width="20.625" style="1" customWidth="1"/>
    <col min="517" max="517" width="23.125" style="1" customWidth="1"/>
    <col min="518" max="518" width="24" style="1" customWidth="1"/>
    <col min="519" max="519" width="17" style="1" customWidth="1"/>
    <col min="520" max="520" width="8.875" style="1"/>
    <col min="521" max="521" width="16" style="1" customWidth="1"/>
    <col min="522" max="522" width="16.75" style="1" customWidth="1"/>
    <col min="523" max="523" width="13.375" style="1" customWidth="1"/>
    <col min="524" max="766" width="8.875" style="1"/>
    <col min="767" max="767" width="13.625" style="1" customWidth="1"/>
    <col min="768" max="768" width="14.375" style="1" customWidth="1"/>
    <col min="769" max="769" width="27.625" style="1" customWidth="1"/>
    <col min="770" max="770" width="19.125" style="1" customWidth="1"/>
    <col min="771" max="771" width="23.375" style="1" customWidth="1"/>
    <col min="772" max="772" width="20.625" style="1" customWidth="1"/>
    <col min="773" max="773" width="23.125" style="1" customWidth="1"/>
    <col min="774" max="774" width="24" style="1" customWidth="1"/>
    <col min="775" max="775" width="17" style="1" customWidth="1"/>
    <col min="776" max="776" width="8.875" style="1"/>
    <col min="777" max="777" width="16" style="1" customWidth="1"/>
    <col min="778" max="778" width="16.75" style="1" customWidth="1"/>
    <col min="779" max="779" width="13.375" style="1" customWidth="1"/>
    <col min="780" max="1022" width="8.875" style="1"/>
    <col min="1023" max="1023" width="13.625" style="1" customWidth="1"/>
    <col min="1024" max="1024" width="14.375" style="1" customWidth="1"/>
    <col min="1025" max="1025" width="27.625" style="1" customWidth="1"/>
    <col min="1026" max="1026" width="19.125" style="1" customWidth="1"/>
    <col min="1027" max="1027" width="23.375" style="1" customWidth="1"/>
    <col min="1028" max="1028" width="20.625" style="1" customWidth="1"/>
    <col min="1029" max="1029" width="23.125" style="1" customWidth="1"/>
    <col min="1030" max="1030" width="24" style="1" customWidth="1"/>
    <col min="1031" max="1031" width="17" style="1" customWidth="1"/>
    <col min="1032" max="1032" width="8.875" style="1"/>
    <col min="1033" max="1033" width="16" style="1" customWidth="1"/>
    <col min="1034" max="1034" width="16.75" style="1" customWidth="1"/>
    <col min="1035" max="1035" width="13.375" style="1" customWidth="1"/>
    <col min="1036" max="1278" width="8.875" style="1"/>
    <col min="1279" max="1279" width="13.625" style="1" customWidth="1"/>
    <col min="1280" max="1280" width="14.375" style="1" customWidth="1"/>
    <col min="1281" max="1281" width="27.625" style="1" customWidth="1"/>
    <col min="1282" max="1282" width="19.125" style="1" customWidth="1"/>
    <col min="1283" max="1283" width="23.375" style="1" customWidth="1"/>
    <col min="1284" max="1284" width="20.625" style="1" customWidth="1"/>
    <col min="1285" max="1285" width="23.125" style="1" customWidth="1"/>
    <col min="1286" max="1286" width="24" style="1" customWidth="1"/>
    <col min="1287" max="1287" width="17" style="1" customWidth="1"/>
    <col min="1288" max="1288" width="8.875" style="1"/>
    <col min="1289" max="1289" width="16" style="1" customWidth="1"/>
    <col min="1290" max="1290" width="16.75" style="1" customWidth="1"/>
    <col min="1291" max="1291" width="13.375" style="1" customWidth="1"/>
    <col min="1292" max="1534" width="8.875" style="1"/>
    <col min="1535" max="1535" width="13.625" style="1" customWidth="1"/>
    <col min="1536" max="1536" width="14.375" style="1" customWidth="1"/>
    <col min="1537" max="1537" width="27.625" style="1" customWidth="1"/>
    <col min="1538" max="1538" width="19.125" style="1" customWidth="1"/>
    <col min="1539" max="1539" width="23.375" style="1" customWidth="1"/>
    <col min="1540" max="1540" width="20.625" style="1" customWidth="1"/>
    <col min="1541" max="1541" width="23.125" style="1" customWidth="1"/>
    <col min="1542" max="1542" width="24" style="1" customWidth="1"/>
    <col min="1543" max="1543" width="17" style="1" customWidth="1"/>
    <col min="1544" max="1544" width="8.875" style="1"/>
    <col min="1545" max="1545" width="16" style="1" customWidth="1"/>
    <col min="1546" max="1546" width="16.75" style="1" customWidth="1"/>
    <col min="1547" max="1547" width="13.375" style="1" customWidth="1"/>
    <col min="1548" max="1790" width="8.875" style="1"/>
    <col min="1791" max="1791" width="13.625" style="1" customWidth="1"/>
    <col min="1792" max="1792" width="14.375" style="1" customWidth="1"/>
    <col min="1793" max="1793" width="27.625" style="1" customWidth="1"/>
    <col min="1794" max="1794" width="19.125" style="1" customWidth="1"/>
    <col min="1795" max="1795" width="23.375" style="1" customWidth="1"/>
    <col min="1796" max="1796" width="20.625" style="1" customWidth="1"/>
    <col min="1797" max="1797" width="23.125" style="1" customWidth="1"/>
    <col min="1798" max="1798" width="24" style="1" customWidth="1"/>
    <col min="1799" max="1799" width="17" style="1" customWidth="1"/>
    <col min="1800" max="1800" width="8.875" style="1"/>
    <col min="1801" max="1801" width="16" style="1" customWidth="1"/>
    <col min="1802" max="1802" width="16.75" style="1" customWidth="1"/>
    <col min="1803" max="1803" width="13.375" style="1" customWidth="1"/>
    <col min="1804" max="2046" width="8.875" style="1"/>
    <col min="2047" max="2047" width="13.625" style="1" customWidth="1"/>
    <col min="2048" max="2048" width="14.375" style="1" customWidth="1"/>
    <col min="2049" max="2049" width="27.625" style="1" customWidth="1"/>
    <col min="2050" max="2050" width="19.125" style="1" customWidth="1"/>
    <col min="2051" max="2051" width="23.375" style="1" customWidth="1"/>
    <col min="2052" max="2052" width="20.625" style="1" customWidth="1"/>
    <col min="2053" max="2053" width="23.125" style="1" customWidth="1"/>
    <col min="2054" max="2054" width="24" style="1" customWidth="1"/>
    <col min="2055" max="2055" width="17" style="1" customWidth="1"/>
    <col min="2056" max="2056" width="8.875" style="1"/>
    <col min="2057" max="2057" width="16" style="1" customWidth="1"/>
    <col min="2058" max="2058" width="16.75" style="1" customWidth="1"/>
    <col min="2059" max="2059" width="13.375" style="1" customWidth="1"/>
    <col min="2060" max="2302" width="8.875" style="1"/>
    <col min="2303" max="2303" width="13.625" style="1" customWidth="1"/>
    <col min="2304" max="2304" width="14.375" style="1" customWidth="1"/>
    <col min="2305" max="2305" width="27.625" style="1" customWidth="1"/>
    <col min="2306" max="2306" width="19.125" style="1" customWidth="1"/>
    <col min="2307" max="2307" width="23.375" style="1" customWidth="1"/>
    <col min="2308" max="2308" width="20.625" style="1" customWidth="1"/>
    <col min="2309" max="2309" width="23.125" style="1" customWidth="1"/>
    <col min="2310" max="2310" width="24" style="1" customWidth="1"/>
    <col min="2311" max="2311" width="17" style="1" customWidth="1"/>
    <col min="2312" max="2312" width="8.875" style="1"/>
    <col min="2313" max="2313" width="16" style="1" customWidth="1"/>
    <col min="2314" max="2314" width="16.75" style="1" customWidth="1"/>
    <col min="2315" max="2315" width="13.375" style="1" customWidth="1"/>
    <col min="2316" max="2558" width="8.875" style="1"/>
    <col min="2559" max="2559" width="13.625" style="1" customWidth="1"/>
    <col min="2560" max="2560" width="14.375" style="1" customWidth="1"/>
    <col min="2561" max="2561" width="27.625" style="1" customWidth="1"/>
    <col min="2562" max="2562" width="19.125" style="1" customWidth="1"/>
    <col min="2563" max="2563" width="23.375" style="1" customWidth="1"/>
    <col min="2564" max="2564" width="20.625" style="1" customWidth="1"/>
    <col min="2565" max="2565" width="23.125" style="1" customWidth="1"/>
    <col min="2566" max="2566" width="24" style="1" customWidth="1"/>
    <col min="2567" max="2567" width="17" style="1" customWidth="1"/>
    <col min="2568" max="2568" width="8.875" style="1"/>
    <col min="2569" max="2569" width="16" style="1" customWidth="1"/>
    <col min="2570" max="2570" width="16.75" style="1" customWidth="1"/>
    <col min="2571" max="2571" width="13.375" style="1" customWidth="1"/>
    <col min="2572" max="2814" width="8.875" style="1"/>
    <col min="2815" max="2815" width="13.625" style="1" customWidth="1"/>
    <col min="2816" max="2816" width="14.375" style="1" customWidth="1"/>
    <col min="2817" max="2817" width="27.625" style="1" customWidth="1"/>
    <col min="2818" max="2818" width="19.125" style="1" customWidth="1"/>
    <col min="2819" max="2819" width="23.375" style="1" customWidth="1"/>
    <col min="2820" max="2820" width="20.625" style="1" customWidth="1"/>
    <col min="2821" max="2821" width="23.125" style="1" customWidth="1"/>
    <col min="2822" max="2822" width="24" style="1" customWidth="1"/>
    <col min="2823" max="2823" width="17" style="1" customWidth="1"/>
    <col min="2824" max="2824" width="8.875" style="1"/>
    <col min="2825" max="2825" width="16" style="1" customWidth="1"/>
    <col min="2826" max="2826" width="16.75" style="1" customWidth="1"/>
    <col min="2827" max="2827" width="13.375" style="1" customWidth="1"/>
    <col min="2828" max="3070" width="8.875" style="1"/>
    <col min="3071" max="3071" width="13.625" style="1" customWidth="1"/>
    <col min="3072" max="3072" width="14.375" style="1" customWidth="1"/>
    <col min="3073" max="3073" width="27.625" style="1" customWidth="1"/>
    <col min="3074" max="3074" width="19.125" style="1" customWidth="1"/>
    <col min="3075" max="3075" width="23.375" style="1" customWidth="1"/>
    <col min="3076" max="3076" width="20.625" style="1" customWidth="1"/>
    <col min="3077" max="3077" width="23.125" style="1" customWidth="1"/>
    <col min="3078" max="3078" width="24" style="1" customWidth="1"/>
    <col min="3079" max="3079" width="17" style="1" customWidth="1"/>
    <col min="3080" max="3080" width="8.875" style="1"/>
    <col min="3081" max="3081" width="16" style="1" customWidth="1"/>
    <col min="3082" max="3082" width="16.75" style="1" customWidth="1"/>
    <col min="3083" max="3083" width="13.375" style="1" customWidth="1"/>
    <col min="3084" max="3326" width="8.875" style="1"/>
    <col min="3327" max="3327" width="13.625" style="1" customWidth="1"/>
    <col min="3328" max="3328" width="14.375" style="1" customWidth="1"/>
    <col min="3329" max="3329" width="27.625" style="1" customWidth="1"/>
    <col min="3330" max="3330" width="19.125" style="1" customWidth="1"/>
    <col min="3331" max="3331" width="23.375" style="1" customWidth="1"/>
    <col min="3332" max="3332" width="20.625" style="1" customWidth="1"/>
    <col min="3333" max="3333" width="23.125" style="1" customWidth="1"/>
    <col min="3334" max="3334" width="24" style="1" customWidth="1"/>
    <col min="3335" max="3335" width="17" style="1" customWidth="1"/>
    <col min="3336" max="3336" width="8.875" style="1"/>
    <col min="3337" max="3337" width="16" style="1" customWidth="1"/>
    <col min="3338" max="3338" width="16.75" style="1" customWidth="1"/>
    <col min="3339" max="3339" width="13.375" style="1" customWidth="1"/>
    <col min="3340" max="3582" width="8.875" style="1"/>
    <col min="3583" max="3583" width="13.625" style="1" customWidth="1"/>
    <col min="3584" max="3584" width="14.375" style="1" customWidth="1"/>
    <col min="3585" max="3585" width="27.625" style="1" customWidth="1"/>
    <col min="3586" max="3586" width="19.125" style="1" customWidth="1"/>
    <col min="3587" max="3587" width="23.375" style="1" customWidth="1"/>
    <col min="3588" max="3588" width="20.625" style="1" customWidth="1"/>
    <col min="3589" max="3589" width="23.125" style="1" customWidth="1"/>
    <col min="3590" max="3590" width="24" style="1" customWidth="1"/>
    <col min="3591" max="3591" width="17" style="1" customWidth="1"/>
    <col min="3592" max="3592" width="8.875" style="1"/>
    <col min="3593" max="3593" width="16" style="1" customWidth="1"/>
    <col min="3594" max="3594" width="16.75" style="1" customWidth="1"/>
    <col min="3595" max="3595" width="13.375" style="1" customWidth="1"/>
    <col min="3596" max="3838" width="8.875" style="1"/>
    <col min="3839" max="3839" width="13.625" style="1" customWidth="1"/>
    <col min="3840" max="3840" width="14.375" style="1" customWidth="1"/>
    <col min="3841" max="3841" width="27.625" style="1" customWidth="1"/>
    <col min="3842" max="3842" width="19.125" style="1" customWidth="1"/>
    <col min="3843" max="3843" width="23.375" style="1" customWidth="1"/>
    <col min="3844" max="3844" width="20.625" style="1" customWidth="1"/>
    <col min="3845" max="3845" width="23.125" style="1" customWidth="1"/>
    <col min="3846" max="3846" width="24" style="1" customWidth="1"/>
    <col min="3847" max="3847" width="17" style="1" customWidth="1"/>
    <col min="3848" max="3848" width="8.875" style="1"/>
    <col min="3849" max="3849" width="16" style="1" customWidth="1"/>
    <col min="3850" max="3850" width="16.75" style="1" customWidth="1"/>
    <col min="3851" max="3851" width="13.375" style="1" customWidth="1"/>
    <col min="3852" max="4094" width="8.875" style="1"/>
    <col min="4095" max="4095" width="13.625" style="1" customWidth="1"/>
    <col min="4096" max="4096" width="14.375" style="1" customWidth="1"/>
    <col min="4097" max="4097" width="27.625" style="1" customWidth="1"/>
    <col min="4098" max="4098" width="19.125" style="1" customWidth="1"/>
    <col min="4099" max="4099" width="23.375" style="1" customWidth="1"/>
    <col min="4100" max="4100" width="20.625" style="1" customWidth="1"/>
    <col min="4101" max="4101" width="23.125" style="1" customWidth="1"/>
    <col min="4102" max="4102" width="24" style="1" customWidth="1"/>
    <col min="4103" max="4103" width="17" style="1" customWidth="1"/>
    <col min="4104" max="4104" width="8.875" style="1"/>
    <col min="4105" max="4105" width="16" style="1" customWidth="1"/>
    <col min="4106" max="4106" width="16.75" style="1" customWidth="1"/>
    <col min="4107" max="4107" width="13.375" style="1" customWidth="1"/>
    <col min="4108" max="4350" width="8.875" style="1"/>
    <col min="4351" max="4351" width="13.625" style="1" customWidth="1"/>
    <col min="4352" max="4352" width="14.375" style="1" customWidth="1"/>
    <col min="4353" max="4353" width="27.625" style="1" customWidth="1"/>
    <col min="4354" max="4354" width="19.125" style="1" customWidth="1"/>
    <col min="4355" max="4355" width="23.375" style="1" customWidth="1"/>
    <col min="4356" max="4356" width="20.625" style="1" customWidth="1"/>
    <col min="4357" max="4357" width="23.125" style="1" customWidth="1"/>
    <col min="4358" max="4358" width="24" style="1" customWidth="1"/>
    <col min="4359" max="4359" width="17" style="1" customWidth="1"/>
    <col min="4360" max="4360" width="8.875" style="1"/>
    <col min="4361" max="4361" width="16" style="1" customWidth="1"/>
    <col min="4362" max="4362" width="16.75" style="1" customWidth="1"/>
    <col min="4363" max="4363" width="13.375" style="1" customWidth="1"/>
    <col min="4364" max="4606" width="8.875" style="1"/>
    <col min="4607" max="4607" width="13.625" style="1" customWidth="1"/>
    <col min="4608" max="4608" width="14.375" style="1" customWidth="1"/>
    <col min="4609" max="4609" width="27.625" style="1" customWidth="1"/>
    <col min="4610" max="4610" width="19.125" style="1" customWidth="1"/>
    <col min="4611" max="4611" width="23.375" style="1" customWidth="1"/>
    <col min="4612" max="4612" width="20.625" style="1" customWidth="1"/>
    <col min="4613" max="4613" width="23.125" style="1" customWidth="1"/>
    <col min="4614" max="4614" width="24" style="1" customWidth="1"/>
    <col min="4615" max="4615" width="17" style="1" customWidth="1"/>
    <col min="4616" max="4616" width="8.875" style="1"/>
    <col min="4617" max="4617" width="16" style="1" customWidth="1"/>
    <col min="4618" max="4618" width="16.75" style="1" customWidth="1"/>
    <col min="4619" max="4619" width="13.375" style="1" customWidth="1"/>
    <col min="4620" max="4862" width="8.875" style="1"/>
    <col min="4863" max="4863" width="13.625" style="1" customWidth="1"/>
    <col min="4864" max="4864" width="14.375" style="1" customWidth="1"/>
    <col min="4865" max="4865" width="27.625" style="1" customWidth="1"/>
    <col min="4866" max="4866" width="19.125" style="1" customWidth="1"/>
    <col min="4867" max="4867" width="23.375" style="1" customWidth="1"/>
    <col min="4868" max="4868" width="20.625" style="1" customWidth="1"/>
    <col min="4869" max="4869" width="23.125" style="1" customWidth="1"/>
    <col min="4870" max="4870" width="24" style="1" customWidth="1"/>
    <col min="4871" max="4871" width="17" style="1" customWidth="1"/>
    <col min="4872" max="4872" width="8.875" style="1"/>
    <col min="4873" max="4873" width="16" style="1" customWidth="1"/>
    <col min="4874" max="4874" width="16.75" style="1" customWidth="1"/>
    <col min="4875" max="4875" width="13.375" style="1" customWidth="1"/>
    <col min="4876" max="5118" width="8.875" style="1"/>
    <col min="5119" max="5119" width="13.625" style="1" customWidth="1"/>
    <col min="5120" max="5120" width="14.375" style="1" customWidth="1"/>
    <col min="5121" max="5121" width="27.625" style="1" customWidth="1"/>
    <col min="5122" max="5122" width="19.125" style="1" customWidth="1"/>
    <col min="5123" max="5123" width="23.375" style="1" customWidth="1"/>
    <col min="5124" max="5124" width="20.625" style="1" customWidth="1"/>
    <col min="5125" max="5125" width="23.125" style="1" customWidth="1"/>
    <col min="5126" max="5126" width="24" style="1" customWidth="1"/>
    <col min="5127" max="5127" width="17" style="1" customWidth="1"/>
    <col min="5128" max="5128" width="8.875" style="1"/>
    <col min="5129" max="5129" width="16" style="1" customWidth="1"/>
    <col min="5130" max="5130" width="16.75" style="1" customWidth="1"/>
    <col min="5131" max="5131" width="13.375" style="1" customWidth="1"/>
    <col min="5132" max="5374" width="8.875" style="1"/>
    <col min="5375" max="5375" width="13.625" style="1" customWidth="1"/>
    <col min="5376" max="5376" width="14.375" style="1" customWidth="1"/>
    <col min="5377" max="5377" width="27.625" style="1" customWidth="1"/>
    <col min="5378" max="5378" width="19.125" style="1" customWidth="1"/>
    <col min="5379" max="5379" width="23.375" style="1" customWidth="1"/>
    <col min="5380" max="5380" width="20.625" style="1" customWidth="1"/>
    <col min="5381" max="5381" width="23.125" style="1" customWidth="1"/>
    <col min="5382" max="5382" width="24" style="1" customWidth="1"/>
    <col min="5383" max="5383" width="17" style="1" customWidth="1"/>
    <col min="5384" max="5384" width="8.875" style="1"/>
    <col min="5385" max="5385" width="16" style="1" customWidth="1"/>
    <col min="5386" max="5386" width="16.75" style="1" customWidth="1"/>
    <col min="5387" max="5387" width="13.375" style="1" customWidth="1"/>
    <col min="5388" max="5630" width="8.875" style="1"/>
    <col min="5631" max="5631" width="13.625" style="1" customWidth="1"/>
    <col min="5632" max="5632" width="14.375" style="1" customWidth="1"/>
    <col min="5633" max="5633" width="27.625" style="1" customWidth="1"/>
    <col min="5634" max="5634" width="19.125" style="1" customWidth="1"/>
    <col min="5635" max="5635" width="23.375" style="1" customWidth="1"/>
    <col min="5636" max="5636" width="20.625" style="1" customWidth="1"/>
    <col min="5637" max="5637" width="23.125" style="1" customWidth="1"/>
    <col min="5638" max="5638" width="24" style="1" customWidth="1"/>
    <col min="5639" max="5639" width="17" style="1" customWidth="1"/>
    <col min="5640" max="5640" width="8.875" style="1"/>
    <col min="5641" max="5641" width="16" style="1" customWidth="1"/>
    <col min="5642" max="5642" width="16.75" style="1" customWidth="1"/>
    <col min="5643" max="5643" width="13.375" style="1" customWidth="1"/>
    <col min="5644" max="5886" width="8.875" style="1"/>
    <col min="5887" max="5887" width="13.625" style="1" customWidth="1"/>
    <col min="5888" max="5888" width="14.375" style="1" customWidth="1"/>
    <col min="5889" max="5889" width="27.625" style="1" customWidth="1"/>
    <col min="5890" max="5890" width="19.125" style="1" customWidth="1"/>
    <col min="5891" max="5891" width="23.375" style="1" customWidth="1"/>
    <col min="5892" max="5892" width="20.625" style="1" customWidth="1"/>
    <col min="5893" max="5893" width="23.125" style="1" customWidth="1"/>
    <col min="5894" max="5894" width="24" style="1" customWidth="1"/>
    <col min="5895" max="5895" width="17" style="1" customWidth="1"/>
    <col min="5896" max="5896" width="8.875" style="1"/>
    <col min="5897" max="5897" width="16" style="1" customWidth="1"/>
    <col min="5898" max="5898" width="16.75" style="1" customWidth="1"/>
    <col min="5899" max="5899" width="13.375" style="1" customWidth="1"/>
    <col min="5900" max="6142" width="8.875" style="1"/>
    <col min="6143" max="6143" width="13.625" style="1" customWidth="1"/>
    <col min="6144" max="6144" width="14.375" style="1" customWidth="1"/>
    <col min="6145" max="6145" width="27.625" style="1" customWidth="1"/>
    <col min="6146" max="6146" width="19.125" style="1" customWidth="1"/>
    <col min="6147" max="6147" width="23.375" style="1" customWidth="1"/>
    <col min="6148" max="6148" width="20.625" style="1" customWidth="1"/>
    <col min="6149" max="6149" width="23.125" style="1" customWidth="1"/>
    <col min="6150" max="6150" width="24" style="1" customWidth="1"/>
    <col min="6151" max="6151" width="17" style="1" customWidth="1"/>
    <col min="6152" max="6152" width="8.875" style="1"/>
    <col min="6153" max="6153" width="16" style="1" customWidth="1"/>
    <col min="6154" max="6154" width="16.75" style="1" customWidth="1"/>
    <col min="6155" max="6155" width="13.375" style="1" customWidth="1"/>
    <col min="6156" max="6398" width="8.875" style="1"/>
    <col min="6399" max="6399" width="13.625" style="1" customWidth="1"/>
    <col min="6400" max="6400" width="14.375" style="1" customWidth="1"/>
    <col min="6401" max="6401" width="27.625" style="1" customWidth="1"/>
    <col min="6402" max="6402" width="19.125" style="1" customWidth="1"/>
    <col min="6403" max="6403" width="23.375" style="1" customWidth="1"/>
    <col min="6404" max="6404" width="20.625" style="1" customWidth="1"/>
    <col min="6405" max="6405" width="23.125" style="1" customWidth="1"/>
    <col min="6406" max="6406" width="24" style="1" customWidth="1"/>
    <col min="6407" max="6407" width="17" style="1" customWidth="1"/>
    <col min="6408" max="6408" width="8.875" style="1"/>
    <col min="6409" max="6409" width="16" style="1" customWidth="1"/>
    <col min="6410" max="6410" width="16.75" style="1" customWidth="1"/>
    <col min="6411" max="6411" width="13.375" style="1" customWidth="1"/>
    <col min="6412" max="6654" width="8.875" style="1"/>
    <col min="6655" max="6655" width="13.625" style="1" customWidth="1"/>
    <col min="6656" max="6656" width="14.375" style="1" customWidth="1"/>
    <col min="6657" max="6657" width="27.625" style="1" customWidth="1"/>
    <col min="6658" max="6658" width="19.125" style="1" customWidth="1"/>
    <col min="6659" max="6659" width="23.375" style="1" customWidth="1"/>
    <col min="6660" max="6660" width="20.625" style="1" customWidth="1"/>
    <col min="6661" max="6661" width="23.125" style="1" customWidth="1"/>
    <col min="6662" max="6662" width="24" style="1" customWidth="1"/>
    <col min="6663" max="6663" width="17" style="1" customWidth="1"/>
    <col min="6664" max="6664" width="8.875" style="1"/>
    <col min="6665" max="6665" width="16" style="1" customWidth="1"/>
    <col min="6666" max="6666" width="16.75" style="1" customWidth="1"/>
    <col min="6667" max="6667" width="13.375" style="1" customWidth="1"/>
    <col min="6668" max="6910" width="8.875" style="1"/>
    <col min="6911" max="6911" width="13.625" style="1" customWidth="1"/>
    <col min="6912" max="6912" width="14.375" style="1" customWidth="1"/>
    <col min="6913" max="6913" width="27.625" style="1" customWidth="1"/>
    <col min="6914" max="6914" width="19.125" style="1" customWidth="1"/>
    <col min="6915" max="6915" width="23.375" style="1" customWidth="1"/>
    <col min="6916" max="6916" width="20.625" style="1" customWidth="1"/>
    <col min="6917" max="6917" width="23.125" style="1" customWidth="1"/>
    <col min="6918" max="6918" width="24" style="1" customWidth="1"/>
    <col min="6919" max="6919" width="17" style="1" customWidth="1"/>
    <col min="6920" max="6920" width="8.875" style="1"/>
    <col min="6921" max="6921" width="16" style="1" customWidth="1"/>
    <col min="6922" max="6922" width="16.75" style="1" customWidth="1"/>
    <col min="6923" max="6923" width="13.375" style="1" customWidth="1"/>
    <col min="6924" max="7166" width="8.875" style="1"/>
    <col min="7167" max="7167" width="13.625" style="1" customWidth="1"/>
    <col min="7168" max="7168" width="14.375" style="1" customWidth="1"/>
    <col min="7169" max="7169" width="27.625" style="1" customWidth="1"/>
    <col min="7170" max="7170" width="19.125" style="1" customWidth="1"/>
    <col min="7171" max="7171" width="23.375" style="1" customWidth="1"/>
    <col min="7172" max="7172" width="20.625" style="1" customWidth="1"/>
    <col min="7173" max="7173" width="23.125" style="1" customWidth="1"/>
    <col min="7174" max="7174" width="24" style="1" customWidth="1"/>
    <col min="7175" max="7175" width="17" style="1" customWidth="1"/>
    <col min="7176" max="7176" width="8.875" style="1"/>
    <col min="7177" max="7177" width="16" style="1" customWidth="1"/>
    <col min="7178" max="7178" width="16.75" style="1" customWidth="1"/>
    <col min="7179" max="7179" width="13.375" style="1" customWidth="1"/>
    <col min="7180" max="7422" width="8.875" style="1"/>
    <col min="7423" max="7423" width="13.625" style="1" customWidth="1"/>
    <col min="7424" max="7424" width="14.375" style="1" customWidth="1"/>
    <col min="7425" max="7425" width="27.625" style="1" customWidth="1"/>
    <col min="7426" max="7426" width="19.125" style="1" customWidth="1"/>
    <col min="7427" max="7427" width="23.375" style="1" customWidth="1"/>
    <col min="7428" max="7428" width="20.625" style="1" customWidth="1"/>
    <col min="7429" max="7429" width="23.125" style="1" customWidth="1"/>
    <col min="7430" max="7430" width="24" style="1" customWidth="1"/>
    <col min="7431" max="7431" width="17" style="1" customWidth="1"/>
    <col min="7432" max="7432" width="8.875" style="1"/>
    <col min="7433" max="7433" width="16" style="1" customWidth="1"/>
    <col min="7434" max="7434" width="16.75" style="1" customWidth="1"/>
    <col min="7435" max="7435" width="13.375" style="1" customWidth="1"/>
    <col min="7436" max="7678" width="8.875" style="1"/>
    <col min="7679" max="7679" width="13.625" style="1" customWidth="1"/>
    <col min="7680" max="7680" width="14.375" style="1" customWidth="1"/>
    <col min="7681" max="7681" width="27.625" style="1" customWidth="1"/>
    <col min="7682" max="7682" width="19.125" style="1" customWidth="1"/>
    <col min="7683" max="7683" width="23.375" style="1" customWidth="1"/>
    <col min="7684" max="7684" width="20.625" style="1" customWidth="1"/>
    <col min="7685" max="7685" width="23.125" style="1" customWidth="1"/>
    <col min="7686" max="7686" width="24" style="1" customWidth="1"/>
    <col min="7687" max="7687" width="17" style="1" customWidth="1"/>
    <col min="7688" max="7688" width="8.875" style="1"/>
    <col min="7689" max="7689" width="16" style="1" customWidth="1"/>
    <col min="7690" max="7690" width="16.75" style="1" customWidth="1"/>
    <col min="7691" max="7691" width="13.375" style="1" customWidth="1"/>
    <col min="7692" max="7934" width="8.875" style="1"/>
    <col min="7935" max="7935" width="13.625" style="1" customWidth="1"/>
    <col min="7936" max="7936" width="14.375" style="1" customWidth="1"/>
    <col min="7937" max="7937" width="27.625" style="1" customWidth="1"/>
    <col min="7938" max="7938" width="19.125" style="1" customWidth="1"/>
    <col min="7939" max="7939" width="23.375" style="1" customWidth="1"/>
    <col min="7940" max="7940" width="20.625" style="1" customWidth="1"/>
    <col min="7941" max="7941" width="23.125" style="1" customWidth="1"/>
    <col min="7942" max="7942" width="24" style="1" customWidth="1"/>
    <col min="7943" max="7943" width="17" style="1" customWidth="1"/>
    <col min="7944" max="7944" width="8.875" style="1"/>
    <col min="7945" max="7945" width="16" style="1" customWidth="1"/>
    <col min="7946" max="7946" width="16.75" style="1" customWidth="1"/>
    <col min="7947" max="7947" width="13.375" style="1" customWidth="1"/>
    <col min="7948" max="8190" width="8.875" style="1"/>
    <col min="8191" max="8191" width="13.625" style="1" customWidth="1"/>
    <col min="8192" max="8192" width="14.375" style="1" customWidth="1"/>
    <col min="8193" max="8193" width="27.625" style="1" customWidth="1"/>
    <col min="8194" max="8194" width="19.125" style="1" customWidth="1"/>
    <col min="8195" max="8195" width="23.375" style="1" customWidth="1"/>
    <col min="8196" max="8196" width="20.625" style="1" customWidth="1"/>
    <col min="8197" max="8197" width="23.125" style="1" customWidth="1"/>
    <col min="8198" max="8198" width="24" style="1" customWidth="1"/>
    <col min="8199" max="8199" width="17" style="1" customWidth="1"/>
    <col min="8200" max="8200" width="8.875" style="1"/>
    <col min="8201" max="8201" width="16" style="1" customWidth="1"/>
    <col min="8202" max="8202" width="16.75" style="1" customWidth="1"/>
    <col min="8203" max="8203" width="13.375" style="1" customWidth="1"/>
    <col min="8204" max="8446" width="8.875" style="1"/>
    <col min="8447" max="8447" width="13.625" style="1" customWidth="1"/>
    <col min="8448" max="8448" width="14.375" style="1" customWidth="1"/>
    <col min="8449" max="8449" width="27.625" style="1" customWidth="1"/>
    <col min="8450" max="8450" width="19.125" style="1" customWidth="1"/>
    <col min="8451" max="8451" width="23.375" style="1" customWidth="1"/>
    <col min="8452" max="8452" width="20.625" style="1" customWidth="1"/>
    <col min="8453" max="8453" width="23.125" style="1" customWidth="1"/>
    <col min="8454" max="8454" width="24" style="1" customWidth="1"/>
    <col min="8455" max="8455" width="17" style="1" customWidth="1"/>
    <col min="8456" max="8456" width="8.875" style="1"/>
    <col min="8457" max="8457" width="16" style="1" customWidth="1"/>
    <col min="8458" max="8458" width="16.75" style="1" customWidth="1"/>
    <col min="8459" max="8459" width="13.375" style="1" customWidth="1"/>
    <col min="8460" max="8702" width="8.875" style="1"/>
    <col min="8703" max="8703" width="13.625" style="1" customWidth="1"/>
    <col min="8704" max="8704" width="14.375" style="1" customWidth="1"/>
    <col min="8705" max="8705" width="27.625" style="1" customWidth="1"/>
    <col min="8706" max="8706" width="19.125" style="1" customWidth="1"/>
    <col min="8707" max="8707" width="23.375" style="1" customWidth="1"/>
    <col min="8708" max="8708" width="20.625" style="1" customWidth="1"/>
    <col min="8709" max="8709" width="23.125" style="1" customWidth="1"/>
    <col min="8710" max="8710" width="24" style="1" customWidth="1"/>
    <col min="8711" max="8711" width="17" style="1" customWidth="1"/>
    <col min="8712" max="8712" width="8.875" style="1"/>
    <col min="8713" max="8713" width="16" style="1" customWidth="1"/>
    <col min="8714" max="8714" width="16.75" style="1" customWidth="1"/>
    <col min="8715" max="8715" width="13.375" style="1" customWidth="1"/>
    <col min="8716" max="8958" width="8.875" style="1"/>
    <col min="8959" max="8959" width="13.625" style="1" customWidth="1"/>
    <col min="8960" max="8960" width="14.375" style="1" customWidth="1"/>
    <col min="8961" max="8961" width="27.625" style="1" customWidth="1"/>
    <col min="8962" max="8962" width="19.125" style="1" customWidth="1"/>
    <col min="8963" max="8963" width="23.375" style="1" customWidth="1"/>
    <col min="8964" max="8964" width="20.625" style="1" customWidth="1"/>
    <col min="8965" max="8965" width="23.125" style="1" customWidth="1"/>
    <col min="8966" max="8966" width="24" style="1" customWidth="1"/>
    <col min="8967" max="8967" width="17" style="1" customWidth="1"/>
    <col min="8968" max="8968" width="8.875" style="1"/>
    <col min="8969" max="8969" width="16" style="1" customWidth="1"/>
    <col min="8970" max="8970" width="16.75" style="1" customWidth="1"/>
    <col min="8971" max="8971" width="13.375" style="1" customWidth="1"/>
    <col min="8972" max="9214" width="8.875" style="1"/>
    <col min="9215" max="9215" width="13.625" style="1" customWidth="1"/>
    <col min="9216" max="9216" width="14.375" style="1" customWidth="1"/>
    <col min="9217" max="9217" width="27.625" style="1" customWidth="1"/>
    <col min="9218" max="9218" width="19.125" style="1" customWidth="1"/>
    <col min="9219" max="9219" width="23.375" style="1" customWidth="1"/>
    <col min="9220" max="9220" width="20.625" style="1" customWidth="1"/>
    <col min="9221" max="9221" width="23.125" style="1" customWidth="1"/>
    <col min="9222" max="9222" width="24" style="1" customWidth="1"/>
    <col min="9223" max="9223" width="17" style="1" customWidth="1"/>
    <col min="9224" max="9224" width="8.875" style="1"/>
    <col min="9225" max="9225" width="16" style="1" customWidth="1"/>
    <col min="9226" max="9226" width="16.75" style="1" customWidth="1"/>
    <col min="9227" max="9227" width="13.375" style="1" customWidth="1"/>
    <col min="9228" max="9470" width="8.875" style="1"/>
    <col min="9471" max="9471" width="13.625" style="1" customWidth="1"/>
    <col min="9472" max="9472" width="14.375" style="1" customWidth="1"/>
    <col min="9473" max="9473" width="27.625" style="1" customWidth="1"/>
    <col min="9474" max="9474" width="19.125" style="1" customWidth="1"/>
    <col min="9475" max="9475" width="23.375" style="1" customWidth="1"/>
    <col min="9476" max="9476" width="20.625" style="1" customWidth="1"/>
    <col min="9477" max="9477" width="23.125" style="1" customWidth="1"/>
    <col min="9478" max="9478" width="24" style="1" customWidth="1"/>
    <col min="9479" max="9479" width="17" style="1" customWidth="1"/>
    <col min="9480" max="9480" width="8.875" style="1"/>
    <col min="9481" max="9481" width="16" style="1" customWidth="1"/>
    <col min="9482" max="9482" width="16.75" style="1" customWidth="1"/>
    <col min="9483" max="9483" width="13.375" style="1" customWidth="1"/>
    <col min="9484" max="9726" width="8.875" style="1"/>
    <col min="9727" max="9727" width="13.625" style="1" customWidth="1"/>
    <col min="9728" max="9728" width="14.375" style="1" customWidth="1"/>
    <col min="9729" max="9729" width="27.625" style="1" customWidth="1"/>
    <col min="9730" max="9730" width="19.125" style="1" customWidth="1"/>
    <col min="9731" max="9731" width="23.375" style="1" customWidth="1"/>
    <col min="9732" max="9732" width="20.625" style="1" customWidth="1"/>
    <col min="9733" max="9733" width="23.125" style="1" customWidth="1"/>
    <col min="9734" max="9734" width="24" style="1" customWidth="1"/>
    <col min="9735" max="9735" width="17" style="1" customWidth="1"/>
    <col min="9736" max="9736" width="8.875" style="1"/>
    <col min="9737" max="9737" width="16" style="1" customWidth="1"/>
    <col min="9738" max="9738" width="16.75" style="1" customWidth="1"/>
    <col min="9739" max="9739" width="13.375" style="1" customWidth="1"/>
    <col min="9740" max="9982" width="8.875" style="1"/>
    <col min="9983" max="9983" width="13.625" style="1" customWidth="1"/>
    <col min="9984" max="9984" width="14.375" style="1" customWidth="1"/>
    <col min="9985" max="9985" width="27.625" style="1" customWidth="1"/>
    <col min="9986" max="9986" width="19.125" style="1" customWidth="1"/>
    <col min="9987" max="9987" width="23.375" style="1" customWidth="1"/>
    <col min="9988" max="9988" width="20.625" style="1" customWidth="1"/>
    <col min="9989" max="9989" width="23.125" style="1" customWidth="1"/>
    <col min="9990" max="9990" width="24" style="1" customWidth="1"/>
    <col min="9991" max="9991" width="17" style="1" customWidth="1"/>
    <col min="9992" max="9992" width="8.875" style="1"/>
    <col min="9993" max="9993" width="16" style="1" customWidth="1"/>
    <col min="9994" max="9994" width="16.75" style="1" customWidth="1"/>
    <col min="9995" max="9995" width="13.375" style="1" customWidth="1"/>
    <col min="9996" max="10238" width="8.875" style="1"/>
    <col min="10239" max="10239" width="13.625" style="1" customWidth="1"/>
    <col min="10240" max="10240" width="14.375" style="1" customWidth="1"/>
    <col min="10241" max="10241" width="27.625" style="1" customWidth="1"/>
    <col min="10242" max="10242" width="19.125" style="1" customWidth="1"/>
    <col min="10243" max="10243" width="23.375" style="1" customWidth="1"/>
    <col min="10244" max="10244" width="20.625" style="1" customWidth="1"/>
    <col min="10245" max="10245" width="23.125" style="1" customWidth="1"/>
    <col min="10246" max="10246" width="24" style="1" customWidth="1"/>
    <col min="10247" max="10247" width="17" style="1" customWidth="1"/>
    <col min="10248" max="10248" width="8.875" style="1"/>
    <col min="10249" max="10249" width="16" style="1" customWidth="1"/>
    <col min="10250" max="10250" width="16.75" style="1" customWidth="1"/>
    <col min="10251" max="10251" width="13.375" style="1" customWidth="1"/>
    <col min="10252" max="10494" width="8.875" style="1"/>
    <col min="10495" max="10495" width="13.625" style="1" customWidth="1"/>
    <col min="10496" max="10496" width="14.375" style="1" customWidth="1"/>
    <col min="10497" max="10497" width="27.625" style="1" customWidth="1"/>
    <col min="10498" max="10498" width="19.125" style="1" customWidth="1"/>
    <col min="10499" max="10499" width="23.375" style="1" customWidth="1"/>
    <col min="10500" max="10500" width="20.625" style="1" customWidth="1"/>
    <col min="10501" max="10501" width="23.125" style="1" customWidth="1"/>
    <col min="10502" max="10502" width="24" style="1" customWidth="1"/>
    <col min="10503" max="10503" width="17" style="1" customWidth="1"/>
    <col min="10504" max="10504" width="8.875" style="1"/>
    <col min="10505" max="10505" width="16" style="1" customWidth="1"/>
    <col min="10506" max="10506" width="16.75" style="1" customWidth="1"/>
    <col min="10507" max="10507" width="13.375" style="1" customWidth="1"/>
    <col min="10508" max="10750" width="8.875" style="1"/>
    <col min="10751" max="10751" width="13.625" style="1" customWidth="1"/>
    <col min="10752" max="10752" width="14.375" style="1" customWidth="1"/>
    <col min="10753" max="10753" width="27.625" style="1" customWidth="1"/>
    <col min="10754" max="10754" width="19.125" style="1" customWidth="1"/>
    <col min="10755" max="10755" width="23.375" style="1" customWidth="1"/>
    <col min="10756" max="10756" width="20.625" style="1" customWidth="1"/>
    <col min="10757" max="10757" width="23.125" style="1" customWidth="1"/>
    <col min="10758" max="10758" width="24" style="1" customWidth="1"/>
    <col min="10759" max="10759" width="17" style="1" customWidth="1"/>
    <col min="10760" max="10760" width="8.875" style="1"/>
    <col min="10761" max="10761" width="16" style="1" customWidth="1"/>
    <col min="10762" max="10762" width="16.75" style="1" customWidth="1"/>
    <col min="10763" max="10763" width="13.375" style="1" customWidth="1"/>
    <col min="10764" max="11006" width="8.875" style="1"/>
    <col min="11007" max="11007" width="13.625" style="1" customWidth="1"/>
    <col min="11008" max="11008" width="14.375" style="1" customWidth="1"/>
    <col min="11009" max="11009" width="27.625" style="1" customWidth="1"/>
    <col min="11010" max="11010" width="19.125" style="1" customWidth="1"/>
    <col min="11011" max="11011" width="23.375" style="1" customWidth="1"/>
    <col min="11012" max="11012" width="20.625" style="1" customWidth="1"/>
    <col min="11013" max="11013" width="23.125" style="1" customWidth="1"/>
    <col min="11014" max="11014" width="24" style="1" customWidth="1"/>
    <col min="11015" max="11015" width="17" style="1" customWidth="1"/>
    <col min="11016" max="11016" width="8.875" style="1"/>
    <col min="11017" max="11017" width="16" style="1" customWidth="1"/>
    <col min="11018" max="11018" width="16.75" style="1" customWidth="1"/>
    <col min="11019" max="11019" width="13.375" style="1" customWidth="1"/>
    <col min="11020" max="11262" width="8.875" style="1"/>
    <col min="11263" max="11263" width="13.625" style="1" customWidth="1"/>
    <col min="11264" max="11264" width="14.375" style="1" customWidth="1"/>
    <col min="11265" max="11265" width="27.625" style="1" customWidth="1"/>
    <col min="11266" max="11266" width="19.125" style="1" customWidth="1"/>
    <col min="11267" max="11267" width="23.375" style="1" customWidth="1"/>
    <col min="11268" max="11268" width="20.625" style="1" customWidth="1"/>
    <col min="11269" max="11269" width="23.125" style="1" customWidth="1"/>
    <col min="11270" max="11270" width="24" style="1" customWidth="1"/>
    <col min="11271" max="11271" width="17" style="1" customWidth="1"/>
    <col min="11272" max="11272" width="8.875" style="1"/>
    <col min="11273" max="11273" width="16" style="1" customWidth="1"/>
    <col min="11274" max="11274" width="16.75" style="1" customWidth="1"/>
    <col min="11275" max="11275" width="13.375" style="1" customWidth="1"/>
    <col min="11276" max="11518" width="8.875" style="1"/>
    <col min="11519" max="11519" width="13.625" style="1" customWidth="1"/>
    <col min="11520" max="11520" width="14.375" style="1" customWidth="1"/>
    <col min="11521" max="11521" width="27.625" style="1" customWidth="1"/>
    <col min="11522" max="11522" width="19.125" style="1" customWidth="1"/>
    <col min="11523" max="11523" width="23.375" style="1" customWidth="1"/>
    <col min="11524" max="11524" width="20.625" style="1" customWidth="1"/>
    <col min="11525" max="11525" width="23.125" style="1" customWidth="1"/>
    <col min="11526" max="11526" width="24" style="1" customWidth="1"/>
    <col min="11527" max="11527" width="17" style="1" customWidth="1"/>
    <col min="11528" max="11528" width="8.875" style="1"/>
    <col min="11529" max="11529" width="16" style="1" customWidth="1"/>
    <col min="11530" max="11530" width="16.75" style="1" customWidth="1"/>
    <col min="11531" max="11531" width="13.375" style="1" customWidth="1"/>
    <col min="11532" max="11774" width="8.875" style="1"/>
    <col min="11775" max="11775" width="13.625" style="1" customWidth="1"/>
    <col min="11776" max="11776" width="14.375" style="1" customWidth="1"/>
    <col min="11777" max="11777" width="27.625" style="1" customWidth="1"/>
    <col min="11778" max="11778" width="19.125" style="1" customWidth="1"/>
    <col min="11779" max="11779" width="23.375" style="1" customWidth="1"/>
    <col min="11780" max="11780" width="20.625" style="1" customWidth="1"/>
    <col min="11781" max="11781" width="23.125" style="1" customWidth="1"/>
    <col min="11782" max="11782" width="24" style="1" customWidth="1"/>
    <col min="11783" max="11783" width="17" style="1" customWidth="1"/>
    <col min="11784" max="11784" width="8.875" style="1"/>
    <col min="11785" max="11785" width="16" style="1" customWidth="1"/>
    <col min="11786" max="11786" width="16.75" style="1" customWidth="1"/>
    <col min="11787" max="11787" width="13.375" style="1" customWidth="1"/>
    <col min="11788" max="12030" width="8.875" style="1"/>
    <col min="12031" max="12031" width="13.625" style="1" customWidth="1"/>
    <col min="12032" max="12032" width="14.375" style="1" customWidth="1"/>
    <col min="12033" max="12033" width="27.625" style="1" customWidth="1"/>
    <col min="12034" max="12034" width="19.125" style="1" customWidth="1"/>
    <col min="12035" max="12035" width="23.375" style="1" customWidth="1"/>
    <col min="12036" max="12036" width="20.625" style="1" customWidth="1"/>
    <col min="12037" max="12037" width="23.125" style="1" customWidth="1"/>
    <col min="12038" max="12038" width="24" style="1" customWidth="1"/>
    <col min="12039" max="12039" width="17" style="1" customWidth="1"/>
    <col min="12040" max="12040" width="8.875" style="1"/>
    <col min="12041" max="12041" width="16" style="1" customWidth="1"/>
    <col min="12042" max="12042" width="16.75" style="1" customWidth="1"/>
    <col min="12043" max="12043" width="13.375" style="1" customWidth="1"/>
    <col min="12044" max="12286" width="8.875" style="1"/>
    <col min="12287" max="12287" width="13.625" style="1" customWidth="1"/>
    <col min="12288" max="12288" width="14.375" style="1" customWidth="1"/>
    <col min="12289" max="12289" width="27.625" style="1" customWidth="1"/>
    <col min="12290" max="12290" width="19.125" style="1" customWidth="1"/>
    <col min="12291" max="12291" width="23.375" style="1" customWidth="1"/>
    <col min="12292" max="12292" width="20.625" style="1" customWidth="1"/>
    <col min="12293" max="12293" width="23.125" style="1" customWidth="1"/>
    <col min="12294" max="12294" width="24" style="1" customWidth="1"/>
    <col min="12295" max="12295" width="17" style="1" customWidth="1"/>
    <col min="12296" max="12296" width="8.875" style="1"/>
    <col min="12297" max="12297" width="16" style="1" customWidth="1"/>
    <col min="12298" max="12298" width="16.75" style="1" customWidth="1"/>
    <col min="12299" max="12299" width="13.375" style="1" customWidth="1"/>
    <col min="12300" max="12542" width="8.875" style="1"/>
    <col min="12543" max="12543" width="13.625" style="1" customWidth="1"/>
    <col min="12544" max="12544" width="14.375" style="1" customWidth="1"/>
    <col min="12545" max="12545" width="27.625" style="1" customWidth="1"/>
    <col min="12546" max="12546" width="19.125" style="1" customWidth="1"/>
    <col min="12547" max="12547" width="23.375" style="1" customWidth="1"/>
    <col min="12548" max="12548" width="20.625" style="1" customWidth="1"/>
    <col min="12549" max="12549" width="23.125" style="1" customWidth="1"/>
    <col min="12550" max="12550" width="24" style="1" customWidth="1"/>
    <col min="12551" max="12551" width="17" style="1" customWidth="1"/>
    <col min="12552" max="12552" width="8.875" style="1"/>
    <col min="12553" max="12553" width="16" style="1" customWidth="1"/>
    <col min="12554" max="12554" width="16.75" style="1" customWidth="1"/>
    <col min="12555" max="12555" width="13.375" style="1" customWidth="1"/>
    <col min="12556" max="12798" width="8.875" style="1"/>
    <col min="12799" max="12799" width="13.625" style="1" customWidth="1"/>
    <col min="12800" max="12800" width="14.375" style="1" customWidth="1"/>
    <col min="12801" max="12801" width="27.625" style="1" customWidth="1"/>
    <col min="12802" max="12802" width="19.125" style="1" customWidth="1"/>
    <col min="12803" max="12803" width="23.375" style="1" customWidth="1"/>
    <col min="12804" max="12804" width="20.625" style="1" customWidth="1"/>
    <col min="12805" max="12805" width="23.125" style="1" customWidth="1"/>
    <col min="12806" max="12806" width="24" style="1" customWidth="1"/>
    <col min="12807" max="12807" width="17" style="1" customWidth="1"/>
    <col min="12808" max="12808" width="8.875" style="1"/>
    <col min="12809" max="12809" width="16" style="1" customWidth="1"/>
    <col min="12810" max="12810" width="16.75" style="1" customWidth="1"/>
    <col min="12811" max="12811" width="13.375" style="1" customWidth="1"/>
    <col min="12812" max="13054" width="8.875" style="1"/>
    <col min="13055" max="13055" width="13.625" style="1" customWidth="1"/>
    <col min="13056" max="13056" width="14.375" style="1" customWidth="1"/>
    <col min="13057" max="13057" width="27.625" style="1" customWidth="1"/>
    <col min="13058" max="13058" width="19.125" style="1" customWidth="1"/>
    <col min="13059" max="13059" width="23.375" style="1" customWidth="1"/>
    <col min="13060" max="13060" width="20.625" style="1" customWidth="1"/>
    <col min="13061" max="13061" width="23.125" style="1" customWidth="1"/>
    <col min="13062" max="13062" width="24" style="1" customWidth="1"/>
    <col min="13063" max="13063" width="17" style="1" customWidth="1"/>
    <col min="13064" max="13064" width="8.875" style="1"/>
    <col min="13065" max="13065" width="16" style="1" customWidth="1"/>
    <col min="13066" max="13066" width="16.75" style="1" customWidth="1"/>
    <col min="13067" max="13067" width="13.375" style="1" customWidth="1"/>
    <col min="13068" max="13310" width="8.875" style="1"/>
    <col min="13311" max="13311" width="13.625" style="1" customWidth="1"/>
    <col min="13312" max="13312" width="14.375" style="1" customWidth="1"/>
    <col min="13313" max="13313" width="27.625" style="1" customWidth="1"/>
    <col min="13314" max="13314" width="19.125" style="1" customWidth="1"/>
    <col min="13315" max="13315" width="23.375" style="1" customWidth="1"/>
    <col min="13316" max="13316" width="20.625" style="1" customWidth="1"/>
    <col min="13317" max="13317" width="23.125" style="1" customWidth="1"/>
    <col min="13318" max="13318" width="24" style="1" customWidth="1"/>
    <col min="13319" max="13319" width="17" style="1" customWidth="1"/>
    <col min="13320" max="13320" width="8.875" style="1"/>
    <col min="13321" max="13321" width="16" style="1" customWidth="1"/>
    <col min="13322" max="13322" width="16.75" style="1" customWidth="1"/>
    <col min="13323" max="13323" width="13.375" style="1" customWidth="1"/>
    <col min="13324" max="13566" width="8.875" style="1"/>
    <col min="13567" max="13567" width="13.625" style="1" customWidth="1"/>
    <col min="13568" max="13568" width="14.375" style="1" customWidth="1"/>
    <col min="13569" max="13569" width="27.625" style="1" customWidth="1"/>
    <col min="13570" max="13570" width="19.125" style="1" customWidth="1"/>
    <col min="13571" max="13571" width="23.375" style="1" customWidth="1"/>
    <col min="13572" max="13572" width="20.625" style="1" customWidth="1"/>
    <col min="13573" max="13573" width="23.125" style="1" customWidth="1"/>
    <col min="13574" max="13574" width="24" style="1" customWidth="1"/>
    <col min="13575" max="13575" width="17" style="1" customWidth="1"/>
    <col min="13576" max="13576" width="8.875" style="1"/>
    <col min="13577" max="13577" width="16" style="1" customWidth="1"/>
    <col min="13578" max="13578" width="16.75" style="1" customWidth="1"/>
    <col min="13579" max="13579" width="13.375" style="1" customWidth="1"/>
    <col min="13580" max="13822" width="8.875" style="1"/>
    <col min="13823" max="13823" width="13.625" style="1" customWidth="1"/>
    <col min="13824" max="13824" width="14.375" style="1" customWidth="1"/>
    <col min="13825" max="13825" width="27.625" style="1" customWidth="1"/>
    <col min="13826" max="13826" width="19.125" style="1" customWidth="1"/>
    <col min="13827" max="13827" width="23.375" style="1" customWidth="1"/>
    <col min="13828" max="13828" width="20.625" style="1" customWidth="1"/>
    <col min="13829" max="13829" width="23.125" style="1" customWidth="1"/>
    <col min="13830" max="13830" width="24" style="1" customWidth="1"/>
    <col min="13831" max="13831" width="17" style="1" customWidth="1"/>
    <col min="13832" max="13832" width="8.875" style="1"/>
    <col min="13833" max="13833" width="16" style="1" customWidth="1"/>
    <col min="13834" max="13834" width="16.75" style="1" customWidth="1"/>
    <col min="13835" max="13835" width="13.375" style="1" customWidth="1"/>
    <col min="13836" max="14078" width="8.875" style="1"/>
    <col min="14079" max="14079" width="13.625" style="1" customWidth="1"/>
    <col min="14080" max="14080" width="14.375" style="1" customWidth="1"/>
    <col min="14081" max="14081" width="27.625" style="1" customWidth="1"/>
    <col min="14082" max="14082" width="19.125" style="1" customWidth="1"/>
    <col min="14083" max="14083" width="23.375" style="1" customWidth="1"/>
    <col min="14084" max="14084" width="20.625" style="1" customWidth="1"/>
    <col min="14085" max="14085" width="23.125" style="1" customWidth="1"/>
    <col min="14086" max="14086" width="24" style="1" customWidth="1"/>
    <col min="14087" max="14087" width="17" style="1" customWidth="1"/>
    <col min="14088" max="14088" width="8.875" style="1"/>
    <col min="14089" max="14089" width="16" style="1" customWidth="1"/>
    <col min="14090" max="14090" width="16.75" style="1" customWidth="1"/>
    <col min="14091" max="14091" width="13.375" style="1" customWidth="1"/>
    <col min="14092" max="14334" width="8.875" style="1"/>
    <col min="14335" max="14335" width="13.625" style="1" customWidth="1"/>
    <col min="14336" max="14336" width="14.375" style="1" customWidth="1"/>
    <col min="14337" max="14337" width="27.625" style="1" customWidth="1"/>
    <col min="14338" max="14338" width="19.125" style="1" customWidth="1"/>
    <col min="14339" max="14339" width="23.375" style="1" customWidth="1"/>
    <col min="14340" max="14340" width="20.625" style="1" customWidth="1"/>
    <col min="14341" max="14341" width="23.125" style="1" customWidth="1"/>
    <col min="14342" max="14342" width="24" style="1" customWidth="1"/>
    <col min="14343" max="14343" width="17" style="1" customWidth="1"/>
    <col min="14344" max="14344" width="8.875" style="1"/>
    <col min="14345" max="14345" width="16" style="1" customWidth="1"/>
    <col min="14346" max="14346" width="16.75" style="1" customWidth="1"/>
    <col min="14347" max="14347" width="13.375" style="1" customWidth="1"/>
    <col min="14348" max="14590" width="8.875" style="1"/>
    <col min="14591" max="14591" width="13.625" style="1" customWidth="1"/>
    <col min="14592" max="14592" width="14.375" style="1" customWidth="1"/>
    <col min="14593" max="14593" width="27.625" style="1" customWidth="1"/>
    <col min="14594" max="14594" width="19.125" style="1" customWidth="1"/>
    <col min="14595" max="14595" width="23.375" style="1" customWidth="1"/>
    <col min="14596" max="14596" width="20.625" style="1" customWidth="1"/>
    <col min="14597" max="14597" width="23.125" style="1" customWidth="1"/>
    <col min="14598" max="14598" width="24" style="1" customWidth="1"/>
    <col min="14599" max="14599" width="17" style="1" customWidth="1"/>
    <col min="14600" max="14600" width="8.875" style="1"/>
    <col min="14601" max="14601" width="16" style="1" customWidth="1"/>
    <col min="14602" max="14602" width="16.75" style="1" customWidth="1"/>
    <col min="14603" max="14603" width="13.375" style="1" customWidth="1"/>
    <col min="14604" max="14846" width="8.875" style="1"/>
    <col min="14847" max="14847" width="13.625" style="1" customWidth="1"/>
    <col min="14848" max="14848" width="14.375" style="1" customWidth="1"/>
    <col min="14849" max="14849" width="27.625" style="1" customWidth="1"/>
    <col min="14850" max="14850" width="19.125" style="1" customWidth="1"/>
    <col min="14851" max="14851" width="23.375" style="1" customWidth="1"/>
    <col min="14852" max="14852" width="20.625" style="1" customWidth="1"/>
    <col min="14853" max="14853" width="23.125" style="1" customWidth="1"/>
    <col min="14854" max="14854" width="24" style="1" customWidth="1"/>
    <col min="14855" max="14855" width="17" style="1" customWidth="1"/>
    <col min="14856" max="14856" width="8.875" style="1"/>
    <col min="14857" max="14857" width="16" style="1" customWidth="1"/>
    <col min="14858" max="14858" width="16.75" style="1" customWidth="1"/>
    <col min="14859" max="14859" width="13.375" style="1" customWidth="1"/>
    <col min="14860" max="15102" width="8.875" style="1"/>
    <col min="15103" max="15103" width="13.625" style="1" customWidth="1"/>
    <col min="15104" max="15104" width="14.375" style="1" customWidth="1"/>
    <col min="15105" max="15105" width="27.625" style="1" customWidth="1"/>
    <col min="15106" max="15106" width="19.125" style="1" customWidth="1"/>
    <col min="15107" max="15107" width="23.375" style="1" customWidth="1"/>
    <col min="15108" max="15108" width="20.625" style="1" customWidth="1"/>
    <col min="15109" max="15109" width="23.125" style="1" customWidth="1"/>
    <col min="15110" max="15110" width="24" style="1" customWidth="1"/>
    <col min="15111" max="15111" width="17" style="1" customWidth="1"/>
    <col min="15112" max="15112" width="8.875" style="1"/>
    <col min="15113" max="15113" width="16" style="1" customWidth="1"/>
    <col min="15114" max="15114" width="16.75" style="1" customWidth="1"/>
    <col min="15115" max="15115" width="13.375" style="1" customWidth="1"/>
    <col min="15116" max="15358" width="8.875" style="1"/>
    <col min="15359" max="15359" width="13.625" style="1" customWidth="1"/>
    <col min="15360" max="15360" width="14.375" style="1" customWidth="1"/>
    <col min="15361" max="15361" width="27.625" style="1" customWidth="1"/>
    <col min="15362" max="15362" width="19.125" style="1" customWidth="1"/>
    <col min="15363" max="15363" width="23.375" style="1" customWidth="1"/>
    <col min="15364" max="15364" width="20.625" style="1" customWidth="1"/>
    <col min="15365" max="15365" width="23.125" style="1" customWidth="1"/>
    <col min="15366" max="15366" width="24" style="1" customWidth="1"/>
    <col min="15367" max="15367" width="17" style="1" customWidth="1"/>
    <col min="15368" max="15368" width="8.875" style="1"/>
    <col min="15369" max="15369" width="16" style="1" customWidth="1"/>
    <col min="15370" max="15370" width="16.75" style="1" customWidth="1"/>
    <col min="15371" max="15371" width="13.375" style="1" customWidth="1"/>
    <col min="15372" max="15614" width="8.875" style="1"/>
    <col min="15615" max="15615" width="13.625" style="1" customWidth="1"/>
    <col min="15616" max="15616" width="14.375" style="1" customWidth="1"/>
    <col min="15617" max="15617" width="27.625" style="1" customWidth="1"/>
    <col min="15618" max="15618" width="19.125" style="1" customWidth="1"/>
    <col min="15619" max="15619" width="23.375" style="1" customWidth="1"/>
    <col min="15620" max="15620" width="20.625" style="1" customWidth="1"/>
    <col min="15621" max="15621" width="23.125" style="1" customWidth="1"/>
    <col min="15622" max="15622" width="24" style="1" customWidth="1"/>
    <col min="15623" max="15623" width="17" style="1" customWidth="1"/>
    <col min="15624" max="15624" width="8.875" style="1"/>
    <col min="15625" max="15625" width="16" style="1" customWidth="1"/>
    <col min="15626" max="15626" width="16.75" style="1" customWidth="1"/>
    <col min="15627" max="15627" width="13.375" style="1" customWidth="1"/>
    <col min="15628" max="15870" width="8.875" style="1"/>
    <col min="15871" max="15871" width="13.625" style="1" customWidth="1"/>
    <col min="15872" max="15872" width="14.375" style="1" customWidth="1"/>
    <col min="15873" max="15873" width="27.625" style="1" customWidth="1"/>
    <col min="15874" max="15874" width="19.125" style="1" customWidth="1"/>
    <col min="15875" max="15875" width="23.375" style="1" customWidth="1"/>
    <col min="15876" max="15876" width="20.625" style="1" customWidth="1"/>
    <col min="15877" max="15877" width="23.125" style="1" customWidth="1"/>
    <col min="15878" max="15878" width="24" style="1" customWidth="1"/>
    <col min="15879" max="15879" width="17" style="1" customWidth="1"/>
    <col min="15880" max="15880" width="8.875" style="1"/>
    <col min="15881" max="15881" width="16" style="1" customWidth="1"/>
    <col min="15882" max="15882" width="16.75" style="1" customWidth="1"/>
    <col min="15883" max="15883" width="13.375" style="1" customWidth="1"/>
    <col min="15884" max="16126" width="8.875" style="1"/>
    <col min="16127" max="16127" width="13.625" style="1" customWidth="1"/>
    <col min="16128" max="16128" width="14.375" style="1" customWidth="1"/>
    <col min="16129" max="16129" width="27.625" style="1" customWidth="1"/>
    <col min="16130" max="16130" width="19.125" style="1" customWidth="1"/>
    <col min="16131" max="16131" width="23.375" style="1" customWidth="1"/>
    <col min="16132" max="16132" width="20.625" style="1" customWidth="1"/>
    <col min="16133" max="16133" width="23.125" style="1" customWidth="1"/>
    <col min="16134" max="16134" width="24" style="1" customWidth="1"/>
    <col min="16135" max="16135" width="17" style="1" customWidth="1"/>
    <col min="16136" max="16136" width="8.875" style="1"/>
    <col min="16137" max="16137" width="16" style="1" customWidth="1"/>
    <col min="16138" max="16138" width="16.75" style="1" customWidth="1"/>
    <col min="16139" max="16139" width="13.375" style="1" customWidth="1"/>
    <col min="16140" max="16384" width="8.875" style="1"/>
  </cols>
  <sheetData>
    <row r="1" spans="1:1" ht="15.75">
      <c r="A1" s="4" t="str">
        <f ca="1">MID(CELL("filename",A1),FIND("]",CELL("filename",A1))+1,255)</f>
        <v>Exogenous Costs</v>
      </c>
    </row>
    <row r="2" spans="1:1" ht="15.75">
      <c r="A2" s="5" t="s">
        <v>19</v>
      </c>
    </row>
    <row r="3" spans="1:1" ht="15.75">
      <c r="A3" s="5" t="s">
        <v>25</v>
      </c>
    </row>
    <row r="4" spans="1:14" ht="15.75">
      <c r="A4" s="5" t="s">
        <v>20</v>
      </c>
      <c r="N4" s="2"/>
    </row>
    <row r="5" spans="1:1" ht="15.75">
      <c r="A5" s="22" t="s">
        <v>14</v>
      </c>
    </row>
    <row r="6" spans="1:16" ht="15.75" customHeight="1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</row>
    <row r="7" spans="1:16" ht="15.75" customHeight="1" thickBot="1">
      <c r="A7" s="254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</row>
    <row r="8" spans="1:9" ht="49.5" customHeight="1">
      <c r="A8" s="290" t="s">
        <v>144</v>
      </c>
      <c r="B8" s="291"/>
      <c r="C8" s="292"/>
      <c r="D8" s="293" t="s">
        <v>159</v>
      </c>
      <c r="E8" s="294"/>
      <c r="F8" s="295"/>
      <c r="G8" s="255"/>
      <c r="I8" s="24"/>
    </row>
    <row r="9" spans="1:9" ht="38.25" customHeight="1">
      <c r="A9" s="256" t="s">
        <v>145</v>
      </c>
      <c r="B9" s="257" t="s">
        <v>146</v>
      </c>
      <c r="C9" s="258" t="s">
        <v>147</v>
      </c>
      <c r="D9" s="256" t="s">
        <v>145</v>
      </c>
      <c r="E9" s="257" t="s">
        <v>146</v>
      </c>
      <c r="F9" s="258" t="s">
        <v>147</v>
      </c>
      <c r="G9" s="160" t="s">
        <v>92</v>
      </c>
      <c r="I9" s="74"/>
    </row>
    <row r="10" spans="1:8" ht="15">
      <c r="A10" s="259" t="s">
        <v>148</v>
      </c>
      <c r="B10" s="260">
        <v>0.003</v>
      </c>
      <c r="C10" s="261"/>
      <c r="D10" s="259" t="s">
        <v>148</v>
      </c>
      <c r="E10" s="262">
        <v>0.004</v>
      </c>
      <c r="F10" s="261"/>
      <c r="G10" s="68">
        <f>$E$10-$B$10</f>
        <v>0.001</v>
      </c>
      <c r="H10" s="1"/>
    </row>
    <row r="11" spans="1:8" ht="15">
      <c r="A11" s="259" t="s">
        <v>149</v>
      </c>
      <c r="B11" s="262">
        <v>0.03</v>
      </c>
      <c r="C11" s="261"/>
      <c r="D11" s="259" t="s">
        <v>149</v>
      </c>
      <c r="E11" s="262">
        <v>0.04</v>
      </c>
      <c r="F11" s="261"/>
      <c r="G11" s="68">
        <f>$E$11-$B$11</f>
        <v>0.010000000000000002</v>
      </c>
      <c r="H11" s="1"/>
    </row>
    <row r="12" spans="1:8" ht="15.75" thickBot="1">
      <c r="A12" s="263" t="s">
        <v>150</v>
      </c>
      <c r="B12" s="264">
        <v>4.0E-5</v>
      </c>
      <c r="C12" s="265"/>
      <c r="D12" s="263" t="s">
        <v>150</v>
      </c>
      <c r="E12" s="264">
        <v>5.0E-5</v>
      </c>
      <c r="F12" s="265"/>
      <c r="G12" s="69">
        <f>$E$12-$B$12</f>
        <v>9.999999999999999E-6</v>
      </c>
      <c r="H12" s="1"/>
    </row>
    <row r="13" spans="1:16" s="165" customFormat="1" ht="15.75" customHeight="1">
      <c r="A13" s="271"/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</row>
    <row r="14" spans="1:2" ht="15.75">
      <c r="A14" s="1"/>
      <c r="B14" s="1"/>
    </row>
    <row r="15" spans="1:18" ht="16.5" thickBot="1">
      <c r="A15" s="1"/>
      <c r="B15" s="1"/>
      <c r="E15" s="284"/>
      <c r="F15" s="284"/>
      <c r="G15" s="284"/>
      <c r="H15" s="284"/>
      <c r="K15" s="30"/>
      <c r="L15" s="30"/>
      <c r="R15" s="30" t="s">
        <v>38</v>
      </c>
    </row>
    <row r="16" spans="1:16" ht="16.15" customHeight="1" thickBot="1">
      <c r="A16" s="22"/>
      <c r="E16" s="287" t="s">
        <v>104</v>
      </c>
      <c r="F16" s="288"/>
      <c r="G16" s="288"/>
      <c r="H16" s="289"/>
      <c r="I16" s="71"/>
      <c r="J16" s="72"/>
      <c r="K16" s="84"/>
      <c r="L16" s="229"/>
      <c r="M16" s="281" t="s">
        <v>91</v>
      </c>
      <c r="N16" s="282"/>
      <c r="O16" s="283"/>
      <c r="P16" s="158"/>
    </row>
    <row r="17" spans="1:16" ht="105">
      <c r="A17" s="6" t="s">
        <v>7</v>
      </c>
      <c r="B17" s="7" t="s">
        <v>8</v>
      </c>
      <c r="C17" s="7" t="s">
        <v>10</v>
      </c>
      <c r="D17" s="10" t="s">
        <v>11</v>
      </c>
      <c r="E17" s="185" t="s">
        <v>127</v>
      </c>
      <c r="F17" s="186" t="s">
        <v>130</v>
      </c>
      <c r="G17" s="186" t="s">
        <v>128</v>
      </c>
      <c r="H17" s="187" t="s">
        <v>129</v>
      </c>
      <c r="I17" s="8" t="s">
        <v>85</v>
      </c>
      <c r="J17" s="3" t="s">
        <v>86</v>
      </c>
      <c r="K17" s="9" t="s">
        <v>87</v>
      </c>
      <c r="L17" s="160" t="s">
        <v>151</v>
      </c>
      <c r="M17" s="85" t="s">
        <v>88</v>
      </c>
      <c r="N17" s="70" t="s">
        <v>89</v>
      </c>
      <c r="O17" s="73" t="s">
        <v>90</v>
      </c>
      <c r="P17" s="159" t="s">
        <v>110</v>
      </c>
    </row>
    <row r="18" spans="1:16" ht="15">
      <c r="A18" s="13"/>
      <c r="B18" s="12"/>
      <c r="C18" s="12"/>
      <c r="D18" s="14"/>
      <c r="E18" s="8" t="str">
        <f t="shared" si="0" ref="E18:P18">"Col "&amp;COLUMN(E18)-4</f>
        <v>Col 1</v>
      </c>
      <c r="F18" s="3" t="str">
        <f>"Col "&amp;COLUMN(F18)-4</f>
        <v>Col 2</v>
      </c>
      <c r="G18" s="3" t="str">
        <f>"Col "&amp;COLUMN(G18)-4</f>
        <v>Col 3</v>
      </c>
      <c r="H18" s="9" t="str">
        <f>"Col "&amp;COLUMN(H18)-4</f>
        <v>Col 4</v>
      </c>
      <c r="I18" s="8" t="str">
        <f>"Col "&amp;COLUMN(I18)-4</f>
        <v>Col 5</v>
      </c>
      <c r="J18" s="3" t="str">
        <f>"Col "&amp;COLUMN(J18)-4</f>
        <v>Col 6</v>
      </c>
      <c r="K18" s="9" t="str">
        <f>"Col "&amp;COLUMN(K18)-4</f>
        <v>Col 7</v>
      </c>
      <c r="L18" s="160" t="str">
        <f>"Col "&amp;COLUMN(L18)-4</f>
        <v>Col 8</v>
      </c>
      <c r="M18" s="8" t="str">
        <f>"Col "&amp;COLUMN(M18)-4</f>
        <v>Col 9</v>
      </c>
      <c r="N18" s="3" t="str">
        <f>"Col "&amp;COLUMN(N18)-4</f>
        <v>Col 10</v>
      </c>
      <c r="O18" s="9" t="str">
        <f>"Col "&amp;COLUMN(O18)-4</f>
        <v>Col 11</v>
      </c>
      <c r="P18" s="160" t="str">
        <f>"Col "&amp;COLUMN(P18)-4</f>
        <v>Col 12</v>
      </c>
    </row>
    <row r="19" spans="1:16" ht="60">
      <c r="A19" s="188" t="s">
        <v>6</v>
      </c>
      <c r="B19" s="189" t="s">
        <v>6</v>
      </c>
      <c r="C19" s="189" t="s">
        <v>6</v>
      </c>
      <c r="D19" s="190" t="s">
        <v>6</v>
      </c>
      <c r="E19" s="8" t="s">
        <v>6</v>
      </c>
      <c r="F19" s="3" t="s">
        <v>6</v>
      </c>
      <c r="G19" s="3" t="s">
        <v>6</v>
      </c>
      <c r="H19" s="9" t="s">
        <v>6</v>
      </c>
      <c r="I19" s="8" t="str">
        <f>E18&amp;" / ("&amp;G18&amp;" - "&amp;E18&amp;")"</f>
        <v>Col 1 / (Col 3 - Col 1)</v>
      </c>
      <c r="J19" s="3" t="str">
        <f>F18&amp;" X (1 + "&amp;I18&amp;")"</f>
        <v>Col 2 X (1 + Col 5)</v>
      </c>
      <c r="K19" s="9" t="str">
        <f>J18&amp;" / "&amp;G18</f>
        <v>Col 6 / Col 3</v>
      </c>
      <c r="L19" s="161" t="s">
        <v>6</v>
      </c>
      <c r="M19" s="86" t="str">
        <f>"Incremental Regulatory Fee Per $ Revenue"&amp;" X "&amp;G18&amp;" X "&amp;K18&amp;" X "&amp;L18</f>
        <v>Incremental Regulatory Fee Per $ Revenue X Col 3 X Col 7 X Col 8</v>
      </c>
      <c r="N19" s="67" t="str">
        <f>"Incremental TRS Fee Per $ Revenue"&amp;" X "&amp;G18&amp;" X "&amp;K18&amp;" X "&amp;L18</f>
        <v>Incremental TRS Fee Per $ Revenue X Col 3 X Col 7 X Col 8</v>
      </c>
      <c r="O19" s="87" t="str">
        <f>"Incremental NANPA Fee Per $ Revenue"&amp;" X "&amp;H18&amp;" X "&amp;K18&amp;" X "&amp;L18</f>
        <v>Incremental NANPA Fee Per $ Revenue X Col 4 X Col 7 X Col 8</v>
      </c>
      <c r="P19" s="161" t="str">
        <f>"Sum("&amp;M18&amp;" + "&amp;N18&amp;" + "&amp;O18&amp;")"</f>
        <v>Sum(Col 9 + Col 10 + Col 11)</v>
      </c>
    </row>
    <row r="20" spans="1:16" s="48" customFormat="1" ht="15">
      <c r="A20" s="156">
        <v>9.87654321E8</v>
      </c>
      <c r="B20" s="46" t="s">
        <v>111</v>
      </c>
      <c r="C20" s="157">
        <v>900001</v>
      </c>
      <c r="D20" s="162" t="s">
        <v>112</v>
      </c>
      <c r="E20" s="56">
        <v>26000</v>
      </c>
      <c r="F20" s="55">
        <v>18000</v>
      </c>
      <c r="G20" s="55">
        <v>169010</v>
      </c>
      <c r="H20" s="191">
        <v>500000</v>
      </c>
      <c r="I20" s="192">
        <f>E20/(G20-E20)</f>
        <v>0.1818054681490805</v>
      </c>
      <c r="J20" s="55">
        <f>F20*(1+I20)</f>
        <v>21272.49842668345</v>
      </c>
      <c r="K20" s="193">
        <f>J20/G20</f>
        <v>0.12586532410320958</v>
      </c>
      <c r="L20" s="230">
        <v>0.9275151250000001</v>
      </c>
      <c r="M20" s="56">
        <f>ROUND($G$10*G20*K20*L20,2)</f>
        <v>19.73</v>
      </c>
      <c r="N20" s="55">
        <f>ROUND($G$11*G20*K20*L20,2)</f>
        <v>197.31</v>
      </c>
      <c r="O20" s="191">
        <f>ROUND($G$12*H20*K20*L20,2)</f>
        <v>0.58</v>
      </c>
      <c r="P20" s="194">
        <f>ROUND(SUM(M20:O20),2)</f>
        <v>217.62</v>
      </c>
    </row>
    <row r="21" spans="1:16" s="48" customFormat="1" ht="15">
      <c r="A21" s="156">
        <v>9.87654321E8</v>
      </c>
      <c r="B21" s="46" t="s">
        <v>111</v>
      </c>
      <c r="C21" s="157">
        <v>900002</v>
      </c>
      <c r="D21" s="162" t="s">
        <v>113</v>
      </c>
      <c r="E21" s="56">
        <v>16000</v>
      </c>
      <c r="F21" s="55">
        <v>8000</v>
      </c>
      <c r="G21" s="55">
        <v>100000</v>
      </c>
      <c r="H21" s="191">
        <v>350000</v>
      </c>
      <c r="I21" s="192">
        <f t="shared" si="1" ref="I21:I23">E21/(G21-E21)</f>
        <v>0.19047619047619047</v>
      </c>
      <c r="J21" s="55">
        <f t="shared" si="2" ref="J21:J24">F21*(1+I21)</f>
        <v>9523.809523809523</v>
      </c>
      <c r="K21" s="193">
        <f t="shared" si="3" ref="K21:K24">J21/G21</f>
        <v>0.09523809523809523</v>
      </c>
      <c r="L21" s="230">
        <v>0.6666666666666666</v>
      </c>
      <c r="M21" s="56">
        <f>ROUND($G$10*G21*K21*L21,2)</f>
        <v>6.35</v>
      </c>
      <c r="N21" s="55">
        <f>ROUND($G$11*G21*K21*L21,2)</f>
        <v>63.49</v>
      </c>
      <c r="O21" s="191">
        <f>ROUND($G$12*H21*K21*L21,2)</f>
        <v>0.22</v>
      </c>
      <c r="P21" s="194">
        <f>ROUND(SUM(M21:O21),2)</f>
        <v>70.06</v>
      </c>
    </row>
    <row r="22" spans="1:16" s="48" customFormat="1" ht="15">
      <c r="A22" s="156">
        <v>9.87654321E8</v>
      </c>
      <c r="B22" s="46" t="s">
        <v>111</v>
      </c>
      <c r="C22" s="157">
        <v>900003</v>
      </c>
      <c r="D22" s="162" t="s">
        <v>114</v>
      </c>
      <c r="E22" s="56">
        <v>52000</v>
      </c>
      <c r="F22" s="55">
        <v>36000</v>
      </c>
      <c r="G22" s="55">
        <v>338020</v>
      </c>
      <c r="H22" s="55">
        <v>1000000</v>
      </c>
      <c r="I22" s="192">
        <f>E22/(G22-E22)</f>
        <v>0.1818054681490805</v>
      </c>
      <c r="J22" s="55">
        <f>F22*(1+I22)</f>
        <v>42544.9968533669</v>
      </c>
      <c r="K22" s="193">
        <f>J22/G22</f>
        <v>0.12586532410320958</v>
      </c>
      <c r="L22" s="230">
        <v>0.92</v>
      </c>
      <c r="M22" s="56">
        <f>ROUND($G$10*G22*K22*L22,2)</f>
        <v>39.14</v>
      </c>
      <c r="N22" s="55">
        <f>ROUND($G$11*G22*K22*L22,2)</f>
        <v>391.41</v>
      </c>
      <c r="O22" s="191">
        <f>ROUND($G$12*H22*K22*L22,2)</f>
        <v>1.16</v>
      </c>
      <c r="P22" s="194">
        <f>ROUND(SUM(M22:O22),2)</f>
        <v>431.71</v>
      </c>
    </row>
    <row r="23" spans="1:17" s="48" customFormat="1" ht="15">
      <c r="A23" s="156">
        <v>9.87654321E8</v>
      </c>
      <c r="B23" s="46" t="s">
        <v>111</v>
      </c>
      <c r="C23" s="157">
        <v>900004</v>
      </c>
      <c r="D23" s="162" t="s">
        <v>115</v>
      </c>
      <c r="E23" s="56">
        <v>2600</v>
      </c>
      <c r="F23" s="55">
        <v>1800</v>
      </c>
      <c r="G23" s="55">
        <v>16901</v>
      </c>
      <c r="H23" s="191">
        <v>50000</v>
      </c>
      <c r="I23" s="192">
        <f>E23/(G23-E23)</f>
        <v>0.1818054681490805</v>
      </c>
      <c r="J23" s="55">
        <f>F23*(1+I23)</f>
        <v>2127.249842668345</v>
      </c>
      <c r="K23" s="193">
        <f>J23/G23</f>
        <v>0.12586532410320958</v>
      </c>
      <c r="L23" s="230">
        <v>0.40540540540540543</v>
      </c>
      <c r="M23" s="56">
        <f>ROUND($G$10*G23*K23*L23,2)</f>
        <v>0.86</v>
      </c>
      <c r="N23" s="55">
        <f>ROUND($G$11*G23*K23*L23,2)</f>
        <v>8.62</v>
      </c>
      <c r="O23" s="191">
        <f>ROUND($G$12*H23*K23*L23,2)</f>
        <v>0.03</v>
      </c>
      <c r="P23" s="194">
        <f>ROUND(SUM(M23:O23),2)</f>
        <v>9.51</v>
      </c>
      <c r="Q23" s="203"/>
    </row>
    <row r="24" spans="1:16" s="165" customFormat="1" ht="15.75" thickBot="1">
      <c r="A24" s="163">
        <v>9.87654321E8</v>
      </c>
      <c r="B24" s="164" t="s">
        <v>111</v>
      </c>
      <c r="C24" s="285" t="s">
        <v>116</v>
      </c>
      <c r="D24" s="286"/>
      <c r="E24" s="195">
        <f>SUM(E20:E23)</f>
        <v>96600</v>
      </c>
      <c r="F24" s="196">
        <f>SUM(F20:F23)</f>
        <v>63800</v>
      </c>
      <c r="G24" s="196">
        <f>SUM(G20:G23)</f>
        <v>623931</v>
      </c>
      <c r="H24" s="197">
        <f>SUM(H20:H23)</f>
        <v>1900000</v>
      </c>
      <c r="I24" s="198">
        <f>E24/(G24-E24)</f>
        <v>0.18318665126836844</v>
      </c>
      <c r="J24" s="196">
        <f>F24*(1+I24)</f>
        <v>75487.3083509219</v>
      </c>
      <c r="K24" s="199">
        <f>J24/G24</f>
        <v>0.12098662889153111</v>
      </c>
      <c r="L24" s="231">
        <v>0.890622970639033</v>
      </c>
      <c r="M24" s="196">
        <f>ROUND($G$10*G24*K24*L24,2)</f>
        <v>67.23</v>
      </c>
      <c r="N24" s="196">
        <f>ROUND($G$11*G24*K24*L24,2)</f>
        <v>672.31</v>
      </c>
      <c r="O24" s="196">
        <f>ROUND($G$12*H24*K24*L24,2)</f>
        <v>2.05</v>
      </c>
      <c r="P24" s="200">
        <f>ROUND(SUM(M24:O24),2)</f>
        <v>741.59</v>
      </c>
    </row>
    <row r="25" spans="1:8" ht="15.75">
      <c r="A25" s="1"/>
      <c r="B25" s="1"/>
      <c r="C25" s="1"/>
      <c r="D25" s="25"/>
      <c r="E25" s="25"/>
      <c r="F25" s="25"/>
      <c r="G25" s="1"/>
      <c r="H25" s="1"/>
    </row>
  </sheetData>
  <mergeCells count="6">
    <mergeCell ref="M16:O16"/>
    <mergeCell ref="E15:H15"/>
    <mergeCell ref="C24:D24"/>
    <mergeCell ref="E16:H16"/>
    <mergeCell ref="A8:C8"/>
    <mergeCell ref="D8:F8"/>
  </mergeCells>
  <pageMargins left="0.25" right="0.25" top="0.75" bottom="0.75" header="0.3" footer="0.3"/>
  <pageSetup fitToHeight="0" orientation="landscape" paperSize="5" scale="44" r:id="rId1"/>
  <headerFooter>
    <oddFooter>&amp;L&amp;Z&amp;F\&amp;A&amp;R&amp;D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26"/>
  <sheetViews>
    <sheetView zoomScale="80" zoomScaleNormal="80" workbookViewId="0" topLeftCell="A1">
      <selection pane="topLeft" activeCell="A1" sqref="A1:B1"/>
    </sheetView>
  </sheetViews>
  <sheetFormatPr defaultRowHeight="15"/>
  <cols>
    <col min="1" max="1" width="17.75" style="1" customWidth="1"/>
    <col min="2" max="2" width="20.375" style="1" bestFit="1" customWidth="1"/>
    <col min="4" max="4" width="17.75" customWidth="1"/>
    <col min="5" max="7" width="17.75" style="1" customWidth="1"/>
    <col min="8" max="8" width="19.125" customWidth="1"/>
    <col min="9" max="10" width="17.75" customWidth="1"/>
    <col min="11" max="11" width="18.375" customWidth="1"/>
    <col min="12" max="13" width="17.75" customWidth="1"/>
    <col min="14" max="15" width="17.75" style="1" customWidth="1"/>
    <col min="16" max="37" width="17.75" customWidth="1"/>
  </cols>
  <sheetData>
    <row r="1" spans="1:2" s="1" customFormat="1" ht="15">
      <c r="A1" s="303" t="str">
        <f ca="1">MID(CELL("filename",A1),FIND("]",CELL("filename",A1))+1,255)</f>
        <v>Factor Dev</v>
      </c>
      <c r="B1" s="303"/>
    </row>
    <row r="2" spans="1:1" s="1" customFormat="1" ht="15">
      <c r="A2" s="227" t="str">
        <f>'Exogenous Costs'!A2</f>
        <v>Filing Date:  06/17/19</v>
      </c>
    </row>
    <row r="3" spans="1:2" s="1" customFormat="1" ht="15">
      <c r="A3" s="303" t="str">
        <f>'Exogenous Costs'!A3</f>
        <v xml:space="preserve">Filing Entity:  </v>
      </c>
      <c r="B3" s="303"/>
    </row>
    <row r="4" spans="1:15" s="1" customFormat="1" ht="15">
      <c r="A4" s="227" t="str">
        <f>'Exogenous Costs'!A4</f>
        <v>Transmittal Number:  XXXX</v>
      </c>
      <c r="D4" s="11"/>
      <c r="L4" s="11"/>
      <c r="M4" s="11"/>
      <c r="N4" s="11"/>
      <c r="O4" s="11"/>
    </row>
    <row r="5" spans="1:1" s="1" customFormat="1" ht="15">
      <c r="A5" s="227" t="str">
        <f>'Exogenous Costs'!A5</f>
        <v>June 17, 2019 Title Title Title</v>
      </c>
    </row>
    <row r="6" spans="1:12" s="1" customFormat="1" ht="15">
      <c r="A6" s="22"/>
      <c r="L6" s="45"/>
    </row>
    <row r="7" spans="1:8" s="1" customFormat="1" ht="15">
      <c r="A7" s="49"/>
      <c r="B7" s="59"/>
      <c r="C7" s="296" t="s">
        <v>39</v>
      </c>
      <c r="D7" s="296"/>
      <c r="E7" s="296"/>
      <c r="F7" s="296"/>
      <c r="G7" s="296"/>
      <c r="H7" s="297"/>
    </row>
    <row r="8" spans="1:10" s="1" customFormat="1" ht="15">
      <c r="A8" s="50" t="s">
        <v>40</v>
      </c>
      <c r="B8" s="51">
        <v>108.807</v>
      </c>
      <c r="C8" s="52" t="s">
        <v>83</v>
      </c>
      <c r="D8" s="2"/>
      <c r="E8" s="2"/>
      <c r="F8" s="2"/>
      <c r="G8" s="2"/>
      <c r="H8" s="31"/>
      <c r="J8" s="60"/>
    </row>
    <row r="9" spans="1:8" s="1" customFormat="1" ht="15">
      <c r="A9" s="53" t="s">
        <v>41</v>
      </c>
      <c r="B9" s="54">
        <v>111.134</v>
      </c>
      <c r="C9" s="61" t="s">
        <v>84</v>
      </c>
      <c r="D9" s="32"/>
      <c r="E9" s="32"/>
      <c r="F9" s="32"/>
      <c r="G9" s="32"/>
      <c r="H9" s="33"/>
    </row>
    <row r="10" spans="1:1" s="1" customFormat="1" ht="15">
      <c r="A10" s="22"/>
    </row>
    <row r="11" spans="1:1" s="1" customFormat="1" ht="15.75" thickBot="1">
      <c r="A11" s="22"/>
    </row>
    <row r="12" spans="5:18" s="1" customFormat="1" ht="51.75" customHeight="1" thickBot="1">
      <c r="E12" s="304" t="s">
        <v>177</v>
      </c>
      <c r="F12" s="305"/>
      <c r="G12" s="305"/>
      <c r="H12" s="298" t="s">
        <v>178</v>
      </c>
      <c r="I12" s="299"/>
      <c r="J12" s="299"/>
      <c r="K12" s="300"/>
      <c r="L12" s="82"/>
      <c r="M12" s="82"/>
      <c r="N12" s="82"/>
      <c r="O12" s="82"/>
      <c r="P12" s="82"/>
      <c r="Q12" s="82"/>
      <c r="R12" s="83"/>
    </row>
    <row r="13" spans="1:18" ht="136.5">
      <c r="A13" s="6" t="s">
        <v>7</v>
      </c>
      <c r="B13" s="7" t="s">
        <v>8</v>
      </c>
      <c r="C13" s="7" t="s">
        <v>10</v>
      </c>
      <c r="D13" s="27" t="s">
        <v>11</v>
      </c>
      <c r="E13" s="6" t="s">
        <v>2</v>
      </c>
      <c r="F13" s="7" t="s">
        <v>1</v>
      </c>
      <c r="G13" s="27" t="s">
        <v>3</v>
      </c>
      <c r="H13" s="8" t="s">
        <v>24</v>
      </c>
      <c r="I13" s="3" t="s">
        <v>179</v>
      </c>
      <c r="J13" s="3" t="s">
        <v>34</v>
      </c>
      <c r="K13" s="9" t="s">
        <v>5</v>
      </c>
      <c r="L13" s="204" t="s">
        <v>0</v>
      </c>
      <c r="M13" s="205" t="s">
        <v>105</v>
      </c>
      <c r="N13" s="205" t="s">
        <v>131</v>
      </c>
      <c r="O13" s="181" t="s">
        <v>110</v>
      </c>
      <c r="P13" s="205" t="s">
        <v>106</v>
      </c>
      <c r="Q13" s="205" t="s">
        <v>160</v>
      </c>
      <c r="R13" s="273" t="s">
        <v>167</v>
      </c>
    </row>
    <row r="14" spans="1:18" s="1" customFormat="1" ht="15">
      <c r="A14" s="13"/>
      <c r="B14" s="12"/>
      <c r="C14" s="12"/>
      <c r="D14" s="26"/>
      <c r="E14" s="65" t="str">
        <f t="shared" si="0" ref="E14:L14">"Col "&amp;COLUMN(E14)+8</f>
        <v>Col 13</v>
      </c>
      <c r="F14" s="21" t="str">
        <f>"Col "&amp;COLUMN(F14)+8</f>
        <v>Col 14</v>
      </c>
      <c r="G14" s="81" t="str">
        <f>"Col "&amp;COLUMN(G14)+8</f>
        <v>Col 15</v>
      </c>
      <c r="H14" s="65" t="str">
        <f>"Col "&amp;COLUMN(H14)+8</f>
        <v>Col 16</v>
      </c>
      <c r="I14" s="21" t="str">
        <f>"Col "&amp;COLUMN(I14)+8</f>
        <v>Col 17</v>
      </c>
      <c r="J14" s="21" t="str">
        <f>"Col "&amp;COLUMN(J14)+8</f>
        <v>Col 18</v>
      </c>
      <c r="K14" s="66" t="str">
        <f>"Col "&amp;COLUMN(K14)+8</f>
        <v>Col 19</v>
      </c>
      <c r="L14" s="65" t="str">
        <f>"Col "&amp;COLUMN(L14)+8</f>
        <v>Col 20</v>
      </c>
      <c r="M14" s="21" t="str">
        <f t="shared" si="1" ref="M14:Q14">"Col "&amp;COLUMN(M14)+8</f>
        <v>Col 21</v>
      </c>
      <c r="N14" s="21" t="str">
        <f>"Col "&amp;COLUMN(N14)+8</f>
        <v>Col 22</v>
      </c>
      <c r="O14" s="21" t="str">
        <f>"Col "&amp;COLUMN(O14)+8</f>
        <v>Col 23</v>
      </c>
      <c r="P14" s="21" t="str">
        <f>"Col "&amp;COLUMN(P14)+8</f>
        <v>Col 24</v>
      </c>
      <c r="Q14" s="21" t="str">
        <f>"Col "&amp;COLUMN(Q14)+8</f>
        <v>Col 25</v>
      </c>
      <c r="R14" s="66" t="str">
        <f>"Col "&amp;COLUMN(R14)+8</f>
        <v>Col 26</v>
      </c>
    </row>
    <row r="15" spans="1:18" s="1" customFormat="1" ht="93.6" customHeight="1">
      <c r="A15" s="3" t="s">
        <v>6</v>
      </c>
      <c r="B15" s="3" t="s">
        <v>6</v>
      </c>
      <c r="C15" s="3" t="s">
        <v>6</v>
      </c>
      <c r="D15" s="216" t="s">
        <v>6</v>
      </c>
      <c r="E15" s="8" t="s">
        <v>6</v>
      </c>
      <c r="F15" s="3" t="s">
        <v>6</v>
      </c>
      <c r="G15" s="166" t="str">
        <f>E14&amp;" / "&amp;F14</f>
        <v>Col 13 / Col 14</v>
      </c>
      <c r="H15" s="8" t="s">
        <v>6</v>
      </c>
      <c r="I15" s="3" t="s">
        <v>6</v>
      </c>
      <c r="J15" s="3" t="str">
        <f>I14&amp;" - "&amp;H14</f>
        <v>Col 17 - Col 16</v>
      </c>
      <c r="K15" s="9" t="str">
        <f>"1 - ("&amp;J14&amp;" / "&amp;I14&amp;")"</f>
        <v>1 - (Col 18 / Col 17)</v>
      </c>
      <c r="L15" s="8" t="s">
        <v>73</v>
      </c>
      <c r="M15" s="3" t="str">
        <f>"("&amp;A9&amp;" - "&amp;A8&amp;") / "&amp;A8</f>
        <v>(GDP-PI Q4 2018 - GDP-PI Q4 2017) / GDP-PI Q4 2017</v>
      </c>
      <c r="N15" s="21" t="s">
        <v>132</v>
      </c>
      <c r="O15" s="3" t="str">
        <f>'Exogenous Costs'!P18</f>
        <v>Col 12</v>
      </c>
      <c r="P15" s="67" t="str">
        <f>"("&amp;'Factor Dev'!N14&amp;" + "&amp;'Factor Dev'!O14&amp;") / "&amp;'Factor Dev'!N14</f>
        <v>(Col 22 + Col 23) / Col 22</v>
      </c>
      <c r="Q15" s="3" t="s">
        <v>6</v>
      </c>
      <c r="R15" s="66" t="str">
        <f>Q14&amp;" X (1 + "&amp;'Factor Dev'!P14&amp;" X ("&amp;M14&amp;" - "&amp;L14&amp;") + "&amp;'Factor Dev'!O14&amp;" / "&amp;'Factor Dev'!N14&amp;")"</f>
        <v>Col 25 X (1 + Col 24 X (Col 21 - Col 20) + Col 23 / Col 22)</v>
      </c>
    </row>
    <row r="16" spans="1:18" s="48" customFormat="1" ht="15">
      <c r="A16" s="156">
        <v>9.87654321E8</v>
      </c>
      <c r="B16" s="46" t="s">
        <v>111</v>
      </c>
      <c r="C16" s="157">
        <f>'Exogenous Costs'!C20</f>
        <v>900001</v>
      </c>
      <c r="D16" s="47" t="str">
        <f>'Exogenous Costs'!D20</f>
        <v>Study Area 1</v>
      </c>
      <c r="E16" s="56">
        <v>1250000</v>
      </c>
      <c r="F16" s="55">
        <v>1000000</v>
      </c>
      <c r="G16" s="89">
        <f>IFERROR($E16/$F16,"")</f>
        <v>1.25</v>
      </c>
      <c r="H16" s="56">
        <v>100000</v>
      </c>
      <c r="I16" s="55">
        <v>110000</v>
      </c>
      <c r="J16" s="55">
        <f>IFERROR($I16-$H16,"")</f>
        <v>10000</v>
      </c>
      <c r="K16" s="57">
        <f>IFERROR(1-($J16/$I16),"")</f>
        <v>0.9090909090909091</v>
      </c>
      <c r="L16" s="206"/>
      <c r="M16" s="167"/>
      <c r="N16" s="55">
        <f>'Holding Co TRP'!G38</f>
        <v>570267.0700000001</v>
      </c>
      <c r="O16" s="167"/>
      <c r="P16" s="182"/>
      <c r="Q16" s="168"/>
      <c r="R16" s="207"/>
    </row>
    <row r="17" spans="1:18" s="1" customFormat="1" ht="15">
      <c r="A17" s="156">
        <v>9.87654321E8</v>
      </c>
      <c r="B17" s="46" t="s">
        <v>111</v>
      </c>
      <c r="C17" s="157">
        <f>'Exogenous Costs'!C21</f>
        <v>900002</v>
      </c>
      <c r="D17" s="47" t="str">
        <f>'Exogenous Costs'!D21</f>
        <v>Study Area 2</v>
      </c>
      <c r="E17" s="56">
        <v>80000</v>
      </c>
      <c r="F17" s="55">
        <v>80000</v>
      </c>
      <c r="G17" s="89">
        <f t="shared" si="2" ref="G17:G19">IFERROR($E17/$F17,"")</f>
        <v>1</v>
      </c>
      <c r="H17" s="56">
        <v>120000</v>
      </c>
      <c r="I17" s="55">
        <v>100000</v>
      </c>
      <c r="J17" s="55">
        <f t="shared" si="3" ref="J17:J19">IFERROR($I17-$H17,"")</f>
        <v>-20000</v>
      </c>
      <c r="K17" s="57">
        <f t="shared" si="4" ref="K17:K19">IFERROR(1-($J17/$I17),"")</f>
        <v>1.20</v>
      </c>
      <c r="L17" s="206"/>
      <c r="M17" s="167"/>
      <c r="N17" s="55">
        <f>'Holding Co TRP'!G53</f>
        <v>594104.40</v>
      </c>
      <c r="O17" s="167"/>
      <c r="P17" s="182"/>
      <c r="Q17" s="168"/>
      <c r="R17" s="207"/>
    </row>
    <row r="18" spans="1:18" s="1" customFormat="1" ht="15">
      <c r="A18" s="156">
        <v>9.87654321E8</v>
      </c>
      <c r="B18" s="46" t="s">
        <v>111</v>
      </c>
      <c r="C18" s="157">
        <f>'Exogenous Costs'!C22</f>
        <v>900003</v>
      </c>
      <c r="D18" s="47" t="str">
        <f>'Exogenous Costs'!D22</f>
        <v>Study Area 3</v>
      </c>
      <c r="E18" s="56">
        <v>100000</v>
      </c>
      <c r="F18" s="55">
        <v>200000</v>
      </c>
      <c r="G18" s="89">
        <f>IFERROR($E18/$F18,"")</f>
        <v>0.50</v>
      </c>
      <c r="H18" s="56">
        <v>10000</v>
      </c>
      <c r="I18" s="55">
        <v>10000</v>
      </c>
      <c r="J18" s="55">
        <f>IFERROR($I18-$H18,"")</f>
        <v>0</v>
      </c>
      <c r="K18" s="57">
        <f>IFERROR(1-($J18/$I18),"")</f>
        <v>1</v>
      </c>
      <c r="L18" s="206"/>
      <c r="M18" s="167"/>
      <c r="N18" s="55">
        <f>'Holding Co TRP'!G68</f>
        <v>247543.50</v>
      </c>
      <c r="O18" s="167"/>
      <c r="P18" s="182"/>
      <c r="Q18" s="168"/>
      <c r="R18" s="207"/>
    </row>
    <row r="19" spans="1:18" s="1" customFormat="1" ht="15">
      <c r="A19" s="156">
        <v>9.87654321E8</v>
      </c>
      <c r="B19" s="46" t="s">
        <v>111</v>
      </c>
      <c r="C19" s="157">
        <f>'Exogenous Costs'!C23</f>
        <v>900004</v>
      </c>
      <c r="D19" s="47" t="str">
        <f>'Exogenous Costs'!D23</f>
        <v>Study Area 4</v>
      </c>
      <c r="E19" s="56">
        <v>500000</v>
      </c>
      <c r="F19" s="55">
        <v>666667</v>
      </c>
      <c r="G19" s="89">
        <f>IFERROR($E19/$F19,"")</f>
        <v>0.7499996250001875</v>
      </c>
      <c r="H19" s="56">
        <v>50000</v>
      </c>
      <c r="I19" s="55">
        <v>67000</v>
      </c>
      <c r="J19" s="55">
        <f>IFERROR($I19-$H19,"")</f>
        <v>17000</v>
      </c>
      <c r="K19" s="57">
        <f>IFERROR(1-($J19/$I19),"")</f>
        <v>0.7462686567164178</v>
      </c>
      <c r="L19" s="206"/>
      <c r="M19" s="167"/>
      <c r="N19" s="55">
        <f>'Holding Co TRP'!G83</f>
        <v>277108.66000000003</v>
      </c>
      <c r="O19" s="167"/>
      <c r="P19" s="182"/>
      <c r="Q19" s="168"/>
      <c r="R19" s="207"/>
    </row>
    <row r="20" spans="1:18" ht="15.75" thickBot="1">
      <c r="A20" s="163">
        <v>9.87654321E8</v>
      </c>
      <c r="B20" s="164" t="s">
        <v>111</v>
      </c>
      <c r="C20" s="285" t="s">
        <v>116</v>
      </c>
      <c r="D20" s="302"/>
      <c r="E20" s="152"/>
      <c r="F20" s="153"/>
      <c r="G20" s="155"/>
      <c r="H20" s="152"/>
      <c r="I20" s="153"/>
      <c r="J20" s="153"/>
      <c r="K20" s="154"/>
      <c r="L20" s="208">
        <v>0.02</v>
      </c>
      <c r="M20" s="209">
        <f>IFERROR(($B$9-$B$8)/$B$8,"")</f>
        <v>0.021386491677925116</v>
      </c>
      <c r="N20" s="210">
        <f>SUM(N16:N19)</f>
        <v>1689023.6300000004</v>
      </c>
      <c r="O20" s="210">
        <f>'Exogenous Costs'!P24</f>
        <v>741.59</v>
      </c>
      <c r="P20" s="211">
        <f>SUM(N20,O20)/N20</f>
        <v>1.00043906431315</v>
      </c>
      <c r="Q20" s="212">
        <v>100</v>
      </c>
      <c r="R20" s="213">
        <f>Q20*(1+P20*((M20-L20)+(O20/N20)))</f>
        <v>100.18263575275623</v>
      </c>
    </row>
    <row r="21" spans="8:17" ht="15">
      <c r="H21" s="301"/>
      <c r="I21" s="301"/>
      <c r="J21" s="301"/>
      <c r="K21" s="301"/>
      <c r="Q21" s="1"/>
    </row>
    <row r="23" spans="1:17" ht="15">
      <c r="A23" s="23"/>
      <c r="P23" s="2"/>
      <c r="Q23" s="2"/>
    </row>
    <row r="24" spans="16:17" ht="15">
      <c r="P24" s="34"/>
      <c r="Q24" s="2"/>
    </row>
    <row r="25" spans="16:17" ht="15">
      <c r="P25" s="34"/>
      <c r="Q25" s="2"/>
    </row>
    <row r="26" spans="16:17" ht="15">
      <c r="P26" s="2"/>
      <c r="Q26" s="2"/>
    </row>
  </sheetData>
  <sortState ref="C20:P20">
    <sortCondition sortBy="value" ref="C20"/>
  </sortState>
  <mergeCells count="7">
    <mergeCell ref="C7:H7"/>
    <mergeCell ref="H12:K12"/>
    <mergeCell ref="H21:K21"/>
    <mergeCell ref="C20:D20"/>
    <mergeCell ref="A1:B1"/>
    <mergeCell ref="A3:B3"/>
    <mergeCell ref="E12:G12"/>
  </mergeCells>
  <pageMargins left="0.25" right="0.25" top="0.75" bottom="0.75" header="0.3" footer="0.3"/>
  <pageSetup fitToHeight="0" orientation="landscape" paperSize="5" scale="55" r:id="rId1"/>
  <headerFooter>
    <oddFooter>&amp;L&amp;Z&amp;F\&amp;A&amp;R&amp;D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pageSetUpPr fitToPage="1"/>
  </sheetPr>
  <dimension ref="A1:P150"/>
  <sheetViews>
    <sheetView zoomScale="80" zoomScaleNormal="80" workbookViewId="0" topLeftCell="A1">
      <selection pane="topLeft" activeCell="A18" sqref="A18"/>
    </sheetView>
  </sheetViews>
  <sheetFormatPr defaultColWidth="9.145" defaultRowHeight="15"/>
  <cols>
    <col min="1" max="1" width="59" style="132" bestFit="1" customWidth="1"/>
    <col min="2" max="2" width="39.25" style="37" customWidth="1"/>
    <col min="3" max="3" width="15.75" style="108" customWidth="1"/>
    <col min="4" max="8" width="15.75" style="35" customWidth="1"/>
    <col min="9" max="11" width="15.75" style="39" customWidth="1"/>
    <col min="12" max="12" width="15.75" style="40" customWidth="1"/>
    <col min="13" max="15" width="18.25" style="41" customWidth="1"/>
    <col min="16" max="16" width="15.75" style="41" customWidth="1"/>
    <col min="17" max="16384" width="9.125" style="41"/>
  </cols>
  <sheetData>
    <row r="1" spans="1:8" ht="15">
      <c r="A1" s="36" t="str">
        <f ca="1">MID(CELL("filename",A1),FIND("]",CELL("filename",A1))+1,255)</f>
        <v>Study Area 1 TRP</v>
      </c>
      <c r="C1" s="41"/>
      <c r="D1" s="41"/>
      <c r="F1" s="38"/>
      <c r="G1" s="41"/>
      <c r="H1" s="41"/>
    </row>
    <row r="2" spans="1:8" ht="15">
      <c r="A2" s="29" t="s">
        <v>19</v>
      </c>
      <c r="C2" s="41"/>
      <c r="D2" s="41"/>
      <c r="F2" s="42"/>
      <c r="G2" s="41"/>
      <c r="H2" s="41"/>
    </row>
    <row r="3" spans="1:8" ht="15">
      <c r="A3" s="29" t="s">
        <v>25</v>
      </c>
      <c r="C3" s="41"/>
      <c r="D3" s="41"/>
      <c r="F3" s="43"/>
      <c r="G3" s="41"/>
      <c r="H3" s="41"/>
    </row>
    <row r="4" spans="1:8" ht="15">
      <c r="A4" s="29" t="s">
        <v>20</v>
      </c>
      <c r="C4" s="41"/>
      <c r="D4" s="41"/>
      <c r="F4" s="43"/>
      <c r="G4" s="41"/>
      <c r="H4" s="41"/>
    </row>
    <row r="5" spans="1:12" ht="15">
      <c r="A5" s="44" t="s">
        <v>14</v>
      </c>
      <c r="C5" s="41"/>
      <c r="D5" s="41"/>
      <c r="F5" s="43"/>
      <c r="G5" s="41"/>
      <c r="H5" s="41"/>
      <c r="I5" s="41"/>
      <c r="J5" s="41"/>
      <c r="K5" s="41"/>
      <c r="L5" s="41"/>
    </row>
    <row r="6" spans="1:12" ht="15">
      <c r="A6" s="44"/>
      <c r="C6" s="41"/>
      <c r="D6" s="41"/>
      <c r="F6" s="43"/>
      <c r="G6" s="28"/>
      <c r="H6" s="58"/>
      <c r="I6" s="41"/>
      <c r="J6" s="41"/>
      <c r="K6" s="41"/>
      <c r="L6" s="41"/>
    </row>
    <row r="7" spans="1:12" ht="15">
      <c r="A7" s="62" t="s">
        <v>15</v>
      </c>
      <c r="B7" s="180">
        <f>'Exogenous Costs'!C20</f>
        <v>900001</v>
      </c>
      <c r="C7" s="41"/>
      <c r="D7" s="41"/>
      <c r="F7" s="43"/>
      <c r="G7" s="28"/>
      <c r="H7" s="58"/>
      <c r="I7" s="41"/>
      <c r="J7" s="41"/>
      <c r="K7" s="41"/>
      <c r="L7" s="41"/>
    </row>
    <row r="8" spans="1:12" ht="15">
      <c r="A8" s="62" t="s">
        <v>16</v>
      </c>
      <c r="B8" s="63" t="str">
        <f>'Exogenous Costs'!D20</f>
        <v>Study Area 1</v>
      </c>
      <c r="C8" s="41"/>
      <c r="D8" s="41"/>
      <c r="F8" s="43"/>
      <c r="G8" s="28"/>
      <c r="H8" s="58"/>
      <c r="I8" s="41"/>
      <c r="J8" s="41"/>
      <c r="K8" s="41"/>
      <c r="L8" s="41"/>
    </row>
    <row r="9" spans="1:12" ht="15">
      <c r="A9" s="62" t="s">
        <v>17</v>
      </c>
      <c r="B9" s="64">
        <f>'Factor Dev'!G16</f>
        <v>1.25</v>
      </c>
      <c r="C9" s="41"/>
      <c r="D9" s="41"/>
      <c r="F9" s="43"/>
      <c r="G9" s="28"/>
      <c r="H9" s="58"/>
      <c r="I9" s="41"/>
      <c r="J9" s="41"/>
      <c r="K9" s="41"/>
      <c r="L9" s="41"/>
    </row>
    <row r="10" spans="1:12" ht="15">
      <c r="A10" s="62" t="s">
        <v>18</v>
      </c>
      <c r="B10" s="64">
        <f>'Factor Dev'!K16</f>
        <v>0.9090909090909091</v>
      </c>
      <c r="C10" s="41"/>
      <c r="D10" s="41"/>
      <c r="F10" s="43"/>
      <c r="G10" s="28"/>
      <c r="H10" s="58"/>
      <c r="I10" s="41"/>
      <c r="J10" s="41"/>
      <c r="K10" s="41"/>
      <c r="L10" s="41"/>
    </row>
    <row r="11" spans="1:15" ht="15">
      <c r="A11" s="23"/>
      <c r="C11" s="29"/>
      <c r="F11" s="43"/>
      <c r="G11" s="11"/>
      <c r="I11" s="98"/>
      <c r="J11" s="98"/>
      <c r="K11" s="98"/>
      <c r="M11" s="11"/>
      <c r="N11" s="11"/>
      <c r="O11" s="11"/>
    </row>
    <row r="12" spans="1:11" s="101" customFormat="1" ht="15">
      <c r="A12" s="90"/>
      <c r="B12" s="91"/>
      <c r="C12" s="92"/>
      <c r="D12" s="93"/>
      <c r="E12" s="94"/>
      <c r="F12" s="94"/>
      <c r="G12" s="94"/>
      <c r="H12" s="94"/>
      <c r="I12" s="94"/>
      <c r="J12" s="94"/>
      <c r="K12" s="100"/>
    </row>
    <row r="13" spans="1:15" ht="15.75" thickBot="1">
      <c r="A13" s="102"/>
      <c r="B13" s="75"/>
      <c r="C13" s="103"/>
      <c r="D13" s="104"/>
      <c r="E13" s="104"/>
      <c r="F13" s="43"/>
      <c r="G13" s="17"/>
      <c r="H13" s="104"/>
      <c r="I13" s="98"/>
      <c r="J13" s="98"/>
      <c r="K13" s="98"/>
      <c r="M13" s="11"/>
      <c r="N13" s="11"/>
      <c r="O13" s="11"/>
    </row>
    <row r="14" spans="1:16" ht="14.45" customHeight="1">
      <c r="A14" s="307" t="s">
        <v>22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9"/>
      <c r="O14" s="105"/>
      <c r="P14" s="105"/>
    </row>
    <row r="15" spans="1:16" ht="14.45" customHeight="1" thickBot="1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2"/>
      <c r="O15" s="105"/>
      <c r="P15" s="105"/>
    </row>
    <row r="16" spans="1:16" s="100" customFormat="1" ht="14.45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ht="15.75">
      <c r="A17" s="41"/>
      <c r="B17" s="107"/>
      <c r="D17" s="109"/>
      <c r="E17" s="109"/>
      <c r="F17" s="109"/>
      <c r="G17" s="109"/>
      <c r="H17" s="109"/>
      <c r="I17" s="41"/>
      <c r="J17" s="110"/>
      <c r="K17" s="110"/>
      <c r="L17" s="306" t="s">
        <v>117</v>
      </c>
      <c r="M17" s="306"/>
      <c r="N17" s="306"/>
      <c r="O17" s="111"/>
      <c r="P17" s="76"/>
    </row>
    <row r="18" spans="1:14" s="78" customFormat="1" ht="154.15" customHeight="1">
      <c r="A18" s="112" t="s">
        <v>29</v>
      </c>
      <c r="B18" s="112" t="s">
        <v>23</v>
      </c>
      <c r="C18" s="113" t="s">
        <v>4</v>
      </c>
      <c r="D18" s="114" t="s">
        <v>94</v>
      </c>
      <c r="E18" s="114" t="s">
        <v>95</v>
      </c>
      <c r="F18" s="114" t="s">
        <v>96</v>
      </c>
      <c r="G18" s="114" t="s">
        <v>97</v>
      </c>
      <c r="H18" s="114" t="s">
        <v>98</v>
      </c>
      <c r="I18" s="115" t="s">
        <v>99</v>
      </c>
      <c r="J18" s="116" t="s">
        <v>100</v>
      </c>
      <c r="K18" s="116" t="s">
        <v>101</v>
      </c>
      <c r="L18" s="117" t="s">
        <v>102</v>
      </c>
      <c r="M18" s="117" t="s">
        <v>36</v>
      </c>
      <c r="N18" s="114" t="s">
        <v>103</v>
      </c>
    </row>
    <row r="19" spans="1:14" s="75" customFormat="1" ht="15">
      <c r="A19" s="118"/>
      <c r="B19" s="119"/>
      <c r="C19" s="112" t="str">
        <f>"Col "&amp;COLUMN(C20)+24</f>
        <v>Col 27</v>
      </c>
      <c r="D19" s="112" t="str">
        <f t="shared" si="0" ref="D19:N19">"Col "&amp;COLUMN(D20)+24</f>
        <v>Col 28</v>
      </c>
      <c r="E19" s="112" t="str">
        <f>"Col "&amp;COLUMN(E20)+24</f>
        <v>Col 29</v>
      </c>
      <c r="F19" s="112" t="str">
        <f>"Col "&amp;COLUMN(F20)+24</f>
        <v>Col 30</v>
      </c>
      <c r="G19" s="112" t="str">
        <f>"Col "&amp;COLUMN(G20)+24</f>
        <v>Col 31</v>
      </c>
      <c r="H19" s="112" t="str">
        <f>"Col "&amp;COLUMN(H20)+24</f>
        <v>Col 32</v>
      </c>
      <c r="I19" s="112" t="str">
        <f>"Col "&amp;COLUMN(I20)+24</f>
        <v>Col 33</v>
      </c>
      <c r="J19" s="112" t="str">
        <f>"Col "&amp;COLUMN(J20)+24</f>
        <v>Col 34</v>
      </c>
      <c r="K19" s="112" t="str">
        <f>"Col "&amp;COLUMN(K20)+24</f>
        <v>Col 35</v>
      </c>
      <c r="L19" s="112" t="str">
        <f>"Col "&amp;COLUMN(L20)+24</f>
        <v>Col 36</v>
      </c>
      <c r="M19" s="112" t="str">
        <f>"Col "&amp;COLUMN(M20)+24</f>
        <v>Col 37</v>
      </c>
      <c r="N19" s="112" t="str">
        <f>"Col "&amp;COLUMN(N20)+24</f>
        <v>Col 38</v>
      </c>
    </row>
    <row r="20" spans="1:14" s="75" customFormat="1" ht="126.6" customHeight="1">
      <c r="A20" s="112" t="s">
        <v>6</v>
      </c>
      <c r="B20" s="112" t="s">
        <v>6</v>
      </c>
      <c r="C20" s="21" t="s">
        <v>6</v>
      </c>
      <c r="D20" s="112" t="s">
        <v>6</v>
      </c>
      <c r="E20" s="120" t="str">
        <f>D19&amp;" X Category Relationship Unfreeze Factor X Net Contributor or Net Recipient Factor"</f>
        <v>Col 28 X Category Relationship Unfreeze Factor X Net Contributor or Net Recipient Factor</v>
      </c>
      <c r="F20" s="120" t="s">
        <v>6</v>
      </c>
      <c r="G20" s="120" t="str">
        <f>"("&amp;F19&amp;" / "&amp;E19&amp;")"&amp;" - 1"</f>
        <v>(Col 30 / Col 29) - 1</v>
      </c>
      <c r="H20" s="120" t="str">
        <f>"("&amp;F19&amp;" / "&amp;D19&amp;")"&amp;" - 1"</f>
        <v>(Col 30 / Col 28) - 1</v>
      </c>
      <c r="I20" s="121" t="s">
        <v>6</v>
      </c>
      <c r="J20" s="121" t="s">
        <v>6</v>
      </c>
      <c r="K20" s="121" t="s">
        <v>6</v>
      </c>
      <c r="L20" s="120" t="str">
        <f>"(("&amp;E19&amp;" X "&amp;I19&amp;") + ("&amp;E19&amp;" X "&amp;J19&amp;" X Appropriate Discount) + ("&amp;E19&amp;" X "&amp;K19&amp;" X Appropriate Discount))"</f>
        <v>((Col 29 X Col 33) + (Col 29 X Col 34 X Appropriate Discount) + (Col 29 X Col 35 X Appropriate Discount))</v>
      </c>
      <c r="M20" s="120" t="str">
        <f>"(("&amp;F19&amp;" X "&amp;I19&amp;") + ("&amp;F19&amp;" X "&amp;J19&amp;" X Appropriate Discount) + ("&amp;F19&amp;" X "&amp;K19&amp;" X Appropriate Discount))"</f>
        <v>((Col 30 X Col 33) + (Col 30 X Col 34 X Appropriate Discount) + (Col 30 X Col 35 X Appropriate Discount))</v>
      </c>
      <c r="N20" s="120" t="str">
        <f>M19&amp;" - "&amp;L19</f>
        <v>Col 37 - Col 36</v>
      </c>
    </row>
    <row r="21" spans="1:14" s="75" customFormat="1" ht="15">
      <c r="A21" s="122"/>
      <c r="B21" s="21" t="s">
        <v>48</v>
      </c>
      <c r="C21" s="21" t="s">
        <v>42</v>
      </c>
      <c r="D21" s="123"/>
      <c r="E21" s="123"/>
      <c r="F21" s="123"/>
      <c r="G21" s="123"/>
      <c r="H21" s="123"/>
      <c r="I21" s="124"/>
      <c r="J21" s="124"/>
      <c r="K21" s="124"/>
      <c r="L21" s="125"/>
      <c r="M21" s="125"/>
      <c r="N21" s="125"/>
    </row>
    <row r="22" spans="1:14" s="75" customFormat="1" ht="15">
      <c r="A22" s="122" t="s">
        <v>62</v>
      </c>
      <c r="B22" s="123" t="s">
        <v>63</v>
      </c>
      <c r="C22" s="126" t="s">
        <v>42</v>
      </c>
      <c r="D22" s="127">
        <v>5</v>
      </c>
      <c r="E22" s="127">
        <f>ROUND($D22*$B$9*$B$10,2)</f>
        <v>5.68</v>
      </c>
      <c r="F22" s="127">
        <v>5.68</v>
      </c>
      <c r="G22" s="128">
        <f>IFERROR(($F22/$E22)-1,0)</f>
        <v>0</v>
      </c>
      <c r="H22" s="128">
        <f>IFERROR(($F22/$D22)-1,0)</f>
        <v>0.1359999999999999</v>
      </c>
      <c r="I22" s="124">
        <v>100</v>
      </c>
      <c r="J22" s="124">
        <v>10</v>
      </c>
      <c r="K22" s="124">
        <v>5</v>
      </c>
      <c r="L22" s="129">
        <f>IFERROR((($E22*$I22)+($E22*$J22*0.8)+($E22*$K22*0.9)),0)</f>
        <v>639</v>
      </c>
      <c r="M22" s="129">
        <f>IFERROR((($F22*$I22)+($F22*$J22*0.8)+($F22*$K22*0.9)),0)</f>
        <v>639</v>
      </c>
      <c r="N22" s="129">
        <f>IFERROR($M22-$L22,0)</f>
        <v>0</v>
      </c>
    </row>
    <row r="23" spans="1:14" s="75" customFormat="1" ht="15">
      <c r="A23" s="122"/>
      <c r="B23" s="123"/>
      <c r="C23" s="126"/>
      <c r="D23" s="127"/>
      <c r="E23" s="127">
        <f t="shared" si="1" ref="E23:E26">ROUND($D23*$B$9*$B$10,2)</f>
        <v>0</v>
      </c>
      <c r="F23" s="127"/>
      <c r="G23" s="128">
        <f>IFERROR(($F23/$E23)-1,0)</f>
        <v>0</v>
      </c>
      <c r="H23" s="128">
        <f t="shared" si="2" ref="H23:H26">IFERROR(($F23/$D23)-1,0)</f>
        <v>0</v>
      </c>
      <c r="I23" s="124"/>
      <c r="J23" s="124"/>
      <c r="K23" s="124"/>
      <c r="L23" s="129">
        <f t="shared" si="3" ref="L23:L26">IFERROR((($E23*$I23)+($E23*$J23*0.8)+($E23*$K23*0.9))*12,0)</f>
        <v>0</v>
      </c>
      <c r="M23" s="129">
        <f t="shared" si="4" ref="M23:M26">IFERROR((($F23*$I23)+($F23*$J23*0.8)+($F23*$K23*0.9))*12,0)</f>
        <v>0</v>
      </c>
      <c r="N23" s="129">
        <f>IFERROR($M23-$L23,0)</f>
        <v>0</v>
      </c>
    </row>
    <row r="24" spans="1:14" s="75" customFormat="1" ht="15">
      <c r="A24" s="122"/>
      <c r="B24" s="123"/>
      <c r="C24" s="126"/>
      <c r="D24" s="127"/>
      <c r="E24" s="127">
        <f>ROUND($D24*$B$9*$B$10,2)</f>
        <v>0</v>
      </c>
      <c r="F24" s="127"/>
      <c r="G24" s="128">
        <f t="shared" si="5" ref="G24:G26">IFERROR(($F24/$E24)-1,0)</f>
        <v>0</v>
      </c>
      <c r="H24" s="128">
        <f>IFERROR(($F24/$D24)-1,0)</f>
        <v>0</v>
      </c>
      <c r="I24" s="124"/>
      <c r="J24" s="124"/>
      <c r="K24" s="124"/>
      <c r="L24" s="129">
        <f>IFERROR((($E24*$I24)+($E24*$J24*0.8)+($E24*$K24*0.9))*12,0)</f>
        <v>0</v>
      </c>
      <c r="M24" s="129">
        <f>IFERROR((($F24*$I24)+($F24*$J24*0.8)+($F24*$K24*0.9))*12,0)</f>
        <v>0</v>
      </c>
      <c r="N24" s="129">
        <f>IFERROR($M24-$L24,0)</f>
        <v>0</v>
      </c>
    </row>
    <row r="25" spans="1:14" s="75" customFormat="1" ht="15">
      <c r="A25" s="122"/>
      <c r="B25" s="123"/>
      <c r="C25" s="126"/>
      <c r="D25" s="127"/>
      <c r="E25" s="127">
        <f>ROUND($D25*$B$9*$B$10,2)</f>
        <v>0</v>
      </c>
      <c r="F25" s="127"/>
      <c r="G25" s="128">
        <f>IFERROR(($F25/$E25)-1,0)</f>
        <v>0</v>
      </c>
      <c r="H25" s="128">
        <f>IFERROR(($F25/$D25)-1,0)</f>
        <v>0</v>
      </c>
      <c r="I25" s="124"/>
      <c r="J25" s="124"/>
      <c r="K25" s="124"/>
      <c r="L25" s="129">
        <f>IFERROR((($E25*$I25)+($E25*$J25*0.8)+($E25*$K25*0.9))*12,0)</f>
        <v>0</v>
      </c>
      <c r="M25" s="129">
        <f>IFERROR((($F25*$I25)+($F25*$J25*0.8)+($F25*$K25*0.9))*12,0)</f>
        <v>0</v>
      </c>
      <c r="N25" s="129">
        <f>IFERROR($M25-$L25,0)</f>
        <v>0</v>
      </c>
    </row>
    <row r="26" spans="1:14" s="75" customFormat="1" ht="15">
      <c r="A26" s="122"/>
      <c r="B26" s="123"/>
      <c r="C26" s="126"/>
      <c r="D26" s="127"/>
      <c r="E26" s="127">
        <f>ROUND($D26*$B$9*$B$10,2)</f>
        <v>0</v>
      </c>
      <c r="F26" s="127"/>
      <c r="G26" s="128">
        <f>IFERROR(($F26/$E26)-1,0)</f>
        <v>0</v>
      </c>
      <c r="H26" s="128">
        <f>IFERROR(($F26/$D26)-1,0)</f>
        <v>0</v>
      </c>
      <c r="I26" s="124"/>
      <c r="J26" s="124"/>
      <c r="K26" s="124"/>
      <c r="L26" s="129">
        <f>IFERROR((($E26*$I26)+($E26*$J26*0.8)+($E26*$K26*0.9))*12,0)</f>
        <v>0</v>
      </c>
      <c r="M26" s="129">
        <f>IFERROR((($F26*$I26)+($F26*$J26*0.8)+($F26*$K26*0.9))*12,0)</f>
        <v>0</v>
      </c>
      <c r="N26" s="129">
        <f>IFERROR($M26-$L26,0)</f>
        <v>0</v>
      </c>
    </row>
    <row r="27" spans="1:14" s="75" customFormat="1" ht="15">
      <c r="A27" s="122"/>
      <c r="B27" s="21" t="s">
        <v>47</v>
      </c>
      <c r="C27" s="21" t="s">
        <v>43</v>
      </c>
      <c r="D27" s="127"/>
      <c r="E27" s="127"/>
      <c r="F27" s="127"/>
      <c r="G27" s="128"/>
      <c r="H27" s="128"/>
      <c r="I27" s="124"/>
      <c r="J27" s="124"/>
      <c r="K27" s="124"/>
      <c r="L27" s="125"/>
      <c r="M27" s="125"/>
      <c r="N27" s="125"/>
    </row>
    <row r="28" spans="1:14" s="75" customFormat="1" ht="15">
      <c r="A28" s="122" t="s">
        <v>62</v>
      </c>
      <c r="B28" s="123" t="s">
        <v>64</v>
      </c>
      <c r="C28" s="126" t="s">
        <v>43</v>
      </c>
      <c r="D28" s="127">
        <v>10</v>
      </c>
      <c r="E28" s="127">
        <f>ROUND($D28*$B$9*$B$10,2)</f>
        <v>11.36</v>
      </c>
      <c r="F28" s="127">
        <v>11.36</v>
      </c>
      <c r="G28" s="128">
        <f>IFERROR(($F28/$E28)-1,0)</f>
        <v>0</v>
      </c>
      <c r="H28" s="128">
        <f>IFERROR(($F28/$D28)-1,0)</f>
        <v>0.1359999999999999</v>
      </c>
      <c r="I28" s="124">
        <v>100</v>
      </c>
      <c r="J28" s="124">
        <v>10</v>
      </c>
      <c r="K28" s="124">
        <v>5</v>
      </c>
      <c r="L28" s="129">
        <f>IFERROR((($E28*$I28)+($E28*$J28*0.8)+($E28*$K28*0.9)),0)</f>
        <v>1278</v>
      </c>
      <c r="M28" s="129">
        <f>IFERROR((($F28*$I28)+($F28*$J28*0.8)+($F28*$K28*0.9)),0)</f>
        <v>1278</v>
      </c>
      <c r="N28" s="129">
        <f>IFERROR($M28-$L28,0)</f>
        <v>0</v>
      </c>
    </row>
    <row r="29" spans="1:14" s="75" customFormat="1" ht="15">
      <c r="A29" s="122"/>
      <c r="B29" s="123"/>
      <c r="C29" s="126"/>
      <c r="D29" s="127"/>
      <c r="E29" s="127">
        <f t="shared" si="6" ref="E29:E32">ROUND($D29*$B$9*$B$10,2)</f>
        <v>0</v>
      </c>
      <c r="F29" s="127"/>
      <c r="G29" s="128">
        <f>IFERROR(($F29/$E29)-1,0)</f>
        <v>0</v>
      </c>
      <c r="H29" s="128">
        <f t="shared" si="7" ref="H29:H32">IFERROR(($F29/$D29)-1,0)</f>
        <v>0</v>
      </c>
      <c r="I29" s="124"/>
      <c r="J29" s="124"/>
      <c r="K29" s="124"/>
      <c r="L29" s="129">
        <f t="shared" si="8" ref="L29:L32">IFERROR((($E29*$I29)+($E29*$J29*0.8)+($E29*$K29*0.9))*12,0)</f>
        <v>0</v>
      </c>
      <c r="M29" s="129">
        <f t="shared" si="9" ref="M29:M32">IFERROR((($F29*$I29)+($F29*$J29*0.8)+($F29*$K29*0.9))*12,0)</f>
        <v>0</v>
      </c>
      <c r="N29" s="129">
        <f>IFERROR($M29-$L29,0)</f>
        <v>0</v>
      </c>
    </row>
    <row r="30" spans="1:14" s="75" customFormat="1" ht="15">
      <c r="A30" s="122"/>
      <c r="B30" s="123"/>
      <c r="C30" s="126"/>
      <c r="D30" s="127"/>
      <c r="E30" s="127">
        <f>ROUND($D30*$B$9*$B$10,2)</f>
        <v>0</v>
      </c>
      <c r="F30" s="127"/>
      <c r="G30" s="128">
        <f t="shared" si="10" ref="G30:G32">IFERROR(($F30/$E30)-1,0)</f>
        <v>0</v>
      </c>
      <c r="H30" s="128">
        <f>IFERROR(($F30/$D30)-1,0)</f>
        <v>0</v>
      </c>
      <c r="I30" s="124"/>
      <c r="J30" s="124"/>
      <c r="K30" s="124"/>
      <c r="L30" s="129">
        <f>IFERROR((($E30*$I30)+($E30*$J30*0.8)+($E30*$K30*0.9))*12,0)</f>
        <v>0</v>
      </c>
      <c r="M30" s="129">
        <f>IFERROR((($F30*$I30)+($F30*$J30*0.8)+($F30*$K30*0.9))*12,0)</f>
        <v>0</v>
      </c>
      <c r="N30" s="129">
        <f>IFERROR($M30-$L30,0)</f>
        <v>0</v>
      </c>
    </row>
    <row r="31" spans="1:14" s="75" customFormat="1" ht="15">
      <c r="A31" s="122"/>
      <c r="B31" s="123"/>
      <c r="C31" s="126"/>
      <c r="D31" s="127"/>
      <c r="E31" s="127">
        <f>ROUND($D31*$B$9*$B$10,2)</f>
        <v>0</v>
      </c>
      <c r="F31" s="127"/>
      <c r="G31" s="128">
        <f>IFERROR(($F31/$E31)-1,0)</f>
        <v>0</v>
      </c>
      <c r="H31" s="128">
        <f>IFERROR(($F31/$D31)-1,0)</f>
        <v>0</v>
      </c>
      <c r="I31" s="124"/>
      <c r="J31" s="124"/>
      <c r="K31" s="124"/>
      <c r="L31" s="129">
        <f>IFERROR((($E31*$I31)+($E31*$J31*0.8)+($E31*$K31*0.9))*12,0)</f>
        <v>0</v>
      </c>
      <c r="M31" s="129">
        <f>IFERROR((($F31*$I31)+($F31*$J31*0.8)+($F31*$K31*0.9))*12,0)</f>
        <v>0</v>
      </c>
      <c r="N31" s="129">
        <f>IFERROR($M31-$L31,0)</f>
        <v>0</v>
      </c>
    </row>
    <row r="32" spans="1:14" s="75" customFormat="1" ht="15">
      <c r="A32" s="122"/>
      <c r="B32" s="123"/>
      <c r="C32" s="126"/>
      <c r="D32" s="127"/>
      <c r="E32" s="127">
        <f>ROUND($D32*$B$9*$B$10,2)</f>
        <v>0</v>
      </c>
      <c r="F32" s="127"/>
      <c r="G32" s="128">
        <f>IFERROR(($F32/$E32)-1,0)</f>
        <v>0</v>
      </c>
      <c r="H32" s="128">
        <f>IFERROR(($F32/$D32)-1,0)</f>
        <v>0</v>
      </c>
      <c r="I32" s="124"/>
      <c r="J32" s="124"/>
      <c r="K32" s="124"/>
      <c r="L32" s="129">
        <f>IFERROR((($E32*$I32)+($E32*$J32*0.8)+($E32*$K32*0.9))*12,0)</f>
        <v>0</v>
      </c>
      <c r="M32" s="129">
        <f>IFERROR((($F32*$I32)+($F32*$J32*0.8)+($F32*$K32*0.9))*12,0)</f>
        <v>0</v>
      </c>
      <c r="N32" s="129">
        <f>IFERROR($M32-$L32,0)</f>
        <v>0</v>
      </c>
    </row>
    <row r="33" spans="1:14" s="75" customFormat="1" ht="15">
      <c r="A33" s="122"/>
      <c r="B33" s="21" t="s">
        <v>46</v>
      </c>
      <c r="C33" s="21" t="s">
        <v>44</v>
      </c>
      <c r="D33" s="127"/>
      <c r="E33" s="127"/>
      <c r="F33" s="127"/>
      <c r="G33" s="128"/>
      <c r="H33" s="128"/>
      <c r="I33" s="124"/>
      <c r="J33" s="124"/>
      <c r="K33" s="124"/>
      <c r="L33" s="125"/>
      <c r="M33" s="125"/>
      <c r="N33" s="125"/>
    </row>
    <row r="34" spans="1:14" s="75" customFormat="1" ht="15">
      <c r="A34" s="122" t="s">
        <v>62</v>
      </c>
      <c r="B34" s="123" t="s">
        <v>65</v>
      </c>
      <c r="C34" s="126" t="s">
        <v>44</v>
      </c>
      <c r="D34" s="127">
        <v>15</v>
      </c>
      <c r="E34" s="127">
        <f>ROUND($D34*$B$9*$B$10,2)</f>
        <v>17.05</v>
      </c>
      <c r="F34" s="127">
        <v>17.05</v>
      </c>
      <c r="G34" s="128">
        <f>IFERROR(($F34/$E34)-1,0)</f>
        <v>0</v>
      </c>
      <c r="H34" s="128">
        <f>IFERROR(($F34/$D34)-1,0)</f>
        <v>0.13666666666666671</v>
      </c>
      <c r="I34" s="124">
        <v>100</v>
      </c>
      <c r="J34" s="124">
        <v>10</v>
      </c>
      <c r="K34" s="124">
        <v>5</v>
      </c>
      <c r="L34" s="129">
        <f>IFERROR((($E34*$I34)+($E34*$J34*0.8)+($E34*$K34*0.9)),0)</f>
        <v>1918.125</v>
      </c>
      <c r="M34" s="129">
        <f>IFERROR((($F34*$I34)+($F34*$J34*0.8)+($F34*$K34*0.9)),0)</f>
        <v>1918.125</v>
      </c>
      <c r="N34" s="129">
        <f>IFERROR($M34-$L34,0)</f>
        <v>0</v>
      </c>
    </row>
    <row r="35" spans="1:14" s="75" customFormat="1" ht="15">
      <c r="A35" s="122"/>
      <c r="B35" s="123"/>
      <c r="C35" s="126"/>
      <c r="D35" s="127"/>
      <c r="E35" s="127">
        <f t="shared" si="11" ref="E35:E38">ROUND($D35*$B$9*$B$10,2)</f>
        <v>0</v>
      </c>
      <c r="F35" s="127"/>
      <c r="G35" s="128">
        <f>IFERROR(($F35/$E35)-1,0)</f>
        <v>0</v>
      </c>
      <c r="H35" s="128">
        <f t="shared" si="12" ref="H35:H38">IFERROR(($F35/$D35)-1,0)</f>
        <v>0</v>
      </c>
      <c r="I35" s="124"/>
      <c r="J35" s="124"/>
      <c r="K35" s="124"/>
      <c r="L35" s="129">
        <f t="shared" si="13" ref="L35:L38">IFERROR((($E35*$I35)+($E35*$J35*0.8)+($E35*$K35*0.9))*12,0)</f>
        <v>0</v>
      </c>
      <c r="M35" s="129">
        <f t="shared" si="14" ref="M35:M38">IFERROR((($F35*$I35)+($F35*$J35*0.8)+($F35*$K35*0.9))*12,0)</f>
        <v>0</v>
      </c>
      <c r="N35" s="129">
        <f>IFERROR($M35-$L35,0)</f>
        <v>0</v>
      </c>
    </row>
    <row r="36" spans="1:14" s="75" customFormat="1" ht="15">
      <c r="A36" s="122"/>
      <c r="B36" s="123"/>
      <c r="C36" s="126"/>
      <c r="D36" s="127"/>
      <c r="E36" s="127">
        <f>ROUND($D36*$B$9*$B$10,2)</f>
        <v>0</v>
      </c>
      <c r="F36" s="127"/>
      <c r="G36" s="128">
        <f t="shared" si="15" ref="G36:G38">IFERROR(($F36/$E36)-1,0)</f>
        <v>0</v>
      </c>
      <c r="H36" s="128">
        <f>IFERROR(($F36/$D36)-1,0)</f>
        <v>0</v>
      </c>
      <c r="I36" s="124"/>
      <c r="J36" s="124"/>
      <c r="K36" s="124"/>
      <c r="L36" s="129">
        <f>IFERROR((($E36*$I36)+($E36*$J36*0.8)+($E36*$K36*0.9))*12,0)</f>
        <v>0</v>
      </c>
      <c r="M36" s="129">
        <f>IFERROR((($F36*$I36)+($F36*$J36*0.8)+($F36*$K36*0.9))*12,0)</f>
        <v>0</v>
      </c>
      <c r="N36" s="129">
        <f>IFERROR($M36-$L36,0)</f>
        <v>0</v>
      </c>
    </row>
    <row r="37" spans="1:14" s="75" customFormat="1" ht="15">
      <c r="A37" s="122"/>
      <c r="B37" s="123"/>
      <c r="C37" s="126"/>
      <c r="D37" s="127"/>
      <c r="E37" s="127">
        <f>ROUND($D37*$B$9*$B$10,2)</f>
        <v>0</v>
      </c>
      <c r="F37" s="127"/>
      <c r="G37" s="128">
        <f>IFERROR(($F37/$E37)-1,0)</f>
        <v>0</v>
      </c>
      <c r="H37" s="128">
        <f>IFERROR(($F37/$D37)-1,0)</f>
        <v>0</v>
      </c>
      <c r="I37" s="124"/>
      <c r="J37" s="124"/>
      <c r="K37" s="124"/>
      <c r="L37" s="129">
        <f>IFERROR((($E37*$I37)+($E37*$J37*0.8)+($E37*$K37*0.9))*12,0)</f>
        <v>0</v>
      </c>
      <c r="M37" s="129">
        <f>IFERROR((($F37*$I37)+($F37*$J37*0.8)+($F37*$K37*0.9))*12,0)</f>
        <v>0</v>
      </c>
      <c r="N37" s="129">
        <f>IFERROR($M37-$L37,0)</f>
        <v>0</v>
      </c>
    </row>
    <row r="38" spans="1:14" s="75" customFormat="1" ht="15">
      <c r="A38" s="122"/>
      <c r="B38" s="123"/>
      <c r="C38" s="126"/>
      <c r="D38" s="127"/>
      <c r="E38" s="127">
        <f>ROUND($D38*$B$9*$B$10,2)</f>
        <v>0</v>
      </c>
      <c r="F38" s="127"/>
      <c r="G38" s="128">
        <f>IFERROR(($F38/$E38)-1,0)</f>
        <v>0</v>
      </c>
      <c r="H38" s="128">
        <f>IFERROR(($F38/$D38)-1,0)</f>
        <v>0</v>
      </c>
      <c r="I38" s="124"/>
      <c r="J38" s="124"/>
      <c r="K38" s="124"/>
      <c r="L38" s="129">
        <f>IFERROR((($E38*$I38)+($E38*$J38*0.8)+($E38*$K38*0.9))*12,0)</f>
        <v>0</v>
      </c>
      <c r="M38" s="129">
        <f>IFERROR((($F38*$I38)+($F38*$J38*0.8)+($F38*$K38*0.9))*12,0)</f>
        <v>0</v>
      </c>
      <c r="N38" s="129">
        <f>IFERROR($M38-$L38,0)</f>
        <v>0</v>
      </c>
    </row>
    <row r="39" spans="1:14" s="75" customFormat="1" ht="15">
      <c r="A39" s="122"/>
      <c r="B39" s="21" t="s">
        <v>45</v>
      </c>
      <c r="C39" s="21" t="s">
        <v>61</v>
      </c>
      <c r="D39" s="127"/>
      <c r="E39" s="127"/>
      <c r="F39" s="127"/>
      <c r="G39" s="128"/>
      <c r="H39" s="128"/>
      <c r="I39" s="124"/>
      <c r="J39" s="124"/>
      <c r="K39" s="124"/>
      <c r="L39" s="125"/>
      <c r="M39" s="125"/>
      <c r="N39" s="125"/>
    </row>
    <row r="40" spans="1:14" s="75" customFormat="1" ht="15">
      <c r="A40" s="122" t="s">
        <v>62</v>
      </c>
      <c r="B40" s="123" t="s">
        <v>66</v>
      </c>
      <c r="C40" s="126" t="s">
        <v>61</v>
      </c>
      <c r="D40" s="127">
        <v>1</v>
      </c>
      <c r="E40" s="127">
        <f>ROUND($D40*$B$9*$B$10,2)</f>
        <v>1.14</v>
      </c>
      <c r="F40" s="127">
        <v>1.14</v>
      </c>
      <c r="G40" s="128">
        <f>IFERROR(($F40/$E40)-1,0)</f>
        <v>0</v>
      </c>
      <c r="H40" s="128">
        <f>IFERROR(($F40/$D40)-1,0)</f>
        <v>0.1399999999999999</v>
      </c>
      <c r="I40" s="124">
        <v>1</v>
      </c>
      <c r="J40" s="124">
        <v>0</v>
      </c>
      <c r="K40" s="124">
        <v>0</v>
      </c>
      <c r="L40" s="129">
        <f>IFERROR((($E40*$I40)+($E40*$J40*0.8)+($E40*$K40*0.9)),0)</f>
        <v>1.14</v>
      </c>
      <c r="M40" s="129">
        <f>IFERROR((($F40*$I40)+($F40*$J40*0.8)+($F40*$K40*0.9)),0)</f>
        <v>1.14</v>
      </c>
      <c r="N40" s="129">
        <f>IFERROR($M40-$L40,0)</f>
        <v>0</v>
      </c>
    </row>
    <row r="41" spans="1:14" s="75" customFormat="1" ht="15">
      <c r="A41" s="122"/>
      <c r="B41" s="123"/>
      <c r="C41" s="126"/>
      <c r="D41" s="127"/>
      <c r="E41" s="127">
        <f t="shared" si="16" ref="E41:E44">ROUND($D41*$B$9*$B$10,2)</f>
        <v>0</v>
      </c>
      <c r="F41" s="127"/>
      <c r="G41" s="128">
        <f>IFERROR(($F41/$E41)-1,0)</f>
        <v>0</v>
      </c>
      <c r="H41" s="128">
        <f t="shared" si="17" ref="H41:H44">IFERROR(($F41/$D41)-1,0)</f>
        <v>0</v>
      </c>
      <c r="I41" s="124"/>
      <c r="J41" s="124"/>
      <c r="K41" s="124"/>
      <c r="L41" s="129">
        <f t="shared" si="18" ref="L41:L44">IFERROR((($E41*$I41)+($E41*$J41*0.8)+($E41*$K41*0.9))*12,0)</f>
        <v>0</v>
      </c>
      <c r="M41" s="129">
        <f t="shared" si="19" ref="M41:M44">IFERROR((($F41*$I41)+($F41*$J41*0.8)+($F41*$K41*0.9))*12,0)</f>
        <v>0</v>
      </c>
      <c r="N41" s="129">
        <f>IFERROR($M41-$L41,0)</f>
        <v>0</v>
      </c>
    </row>
    <row r="42" spans="1:14" s="75" customFormat="1" ht="15">
      <c r="A42" s="122"/>
      <c r="B42" s="123"/>
      <c r="C42" s="126"/>
      <c r="D42" s="127"/>
      <c r="E42" s="127">
        <f>ROUND($D42*$B$9*$B$10,2)</f>
        <v>0</v>
      </c>
      <c r="F42" s="127"/>
      <c r="G42" s="128">
        <f t="shared" si="20" ref="G42:G44">IFERROR(($F42/$E42)-1,0)</f>
        <v>0</v>
      </c>
      <c r="H42" s="128">
        <f>IFERROR(($F42/$D42)-1,0)</f>
        <v>0</v>
      </c>
      <c r="I42" s="124"/>
      <c r="J42" s="124"/>
      <c r="K42" s="124"/>
      <c r="L42" s="129">
        <f>IFERROR((($E42*$I42)+($E42*$J42*0.8)+($E42*$K42*0.9))*12,0)</f>
        <v>0</v>
      </c>
      <c r="M42" s="129">
        <f>IFERROR((($F42*$I42)+($F42*$J42*0.8)+($F42*$K42*0.9))*12,0)</f>
        <v>0</v>
      </c>
      <c r="N42" s="129">
        <f>IFERROR($M42-$L42,0)</f>
        <v>0</v>
      </c>
    </row>
    <row r="43" spans="1:14" s="75" customFormat="1" ht="15">
      <c r="A43" s="122"/>
      <c r="B43" s="123"/>
      <c r="C43" s="126"/>
      <c r="D43" s="127"/>
      <c r="E43" s="127">
        <f>ROUND($D43*$B$9*$B$10,2)</f>
        <v>0</v>
      </c>
      <c r="F43" s="127"/>
      <c r="G43" s="128">
        <f>IFERROR(($F43/$E43)-1,0)</f>
        <v>0</v>
      </c>
      <c r="H43" s="128">
        <f>IFERROR(($F43/$D43)-1,0)</f>
        <v>0</v>
      </c>
      <c r="I43" s="124"/>
      <c r="J43" s="124"/>
      <c r="K43" s="124"/>
      <c r="L43" s="129">
        <f>IFERROR((($E43*$I43)+($E43*$J43*0.8)+($E43*$K43*0.9))*12,0)</f>
        <v>0</v>
      </c>
      <c r="M43" s="129">
        <f>IFERROR((($F43*$I43)+($F43*$J43*0.8)+($F43*$K43*0.9))*12,0)</f>
        <v>0</v>
      </c>
      <c r="N43" s="129">
        <f>IFERROR($M43-$L43,0)</f>
        <v>0</v>
      </c>
    </row>
    <row r="44" spans="1:14" s="75" customFormat="1" ht="15">
      <c r="A44" s="122"/>
      <c r="B44" s="123"/>
      <c r="C44" s="126"/>
      <c r="D44" s="127"/>
      <c r="E44" s="127">
        <f>ROUND($D44*$B$9*$B$10,2)</f>
        <v>0</v>
      </c>
      <c r="F44" s="127"/>
      <c r="G44" s="128">
        <f>IFERROR(($F44/$E44)-1,0)</f>
        <v>0</v>
      </c>
      <c r="H44" s="128">
        <f>IFERROR(($F44/$D44)-1,0)</f>
        <v>0</v>
      </c>
      <c r="I44" s="124"/>
      <c r="J44" s="124"/>
      <c r="K44" s="124"/>
      <c r="L44" s="129">
        <f>IFERROR((($E44*$I44)+($E44*$J44*0.8)+($E44*$K44*0.9))*12,0)</f>
        <v>0</v>
      </c>
      <c r="M44" s="129">
        <f>IFERROR((($F44*$I44)+($F44*$J44*0.8)+($F44*$K44*0.9))*12,0)</f>
        <v>0</v>
      </c>
      <c r="N44" s="129">
        <f>IFERROR($M44-$L44,0)</f>
        <v>0</v>
      </c>
    </row>
    <row r="45" spans="1:14" s="75" customFormat="1" ht="15">
      <c r="A45" s="122"/>
      <c r="B45" s="21" t="s">
        <v>50</v>
      </c>
      <c r="C45" s="21" t="s">
        <v>51</v>
      </c>
      <c r="D45" s="127"/>
      <c r="E45" s="127"/>
      <c r="F45" s="127"/>
      <c r="G45" s="128"/>
      <c r="H45" s="128"/>
      <c r="I45" s="124"/>
      <c r="J45" s="124"/>
      <c r="K45" s="124"/>
      <c r="L45" s="125"/>
      <c r="M45" s="125"/>
      <c r="N45" s="125"/>
    </row>
    <row r="46" spans="1:14" s="75" customFormat="1" ht="30">
      <c r="A46" s="122" t="s">
        <v>62</v>
      </c>
      <c r="B46" s="123" t="s">
        <v>67</v>
      </c>
      <c r="C46" s="126" t="s">
        <v>51</v>
      </c>
      <c r="D46" s="127">
        <v>20</v>
      </c>
      <c r="E46" s="127">
        <f>ROUND($D46*$B$9*$B$10,2)</f>
        <v>22.73</v>
      </c>
      <c r="F46" s="127">
        <v>22.73</v>
      </c>
      <c r="G46" s="128">
        <f>IFERROR(($F46/$E46)-1,0)</f>
        <v>0</v>
      </c>
      <c r="H46" s="128">
        <f>IFERROR(($F46/$D46)-1,0)</f>
        <v>0.13650000000000007</v>
      </c>
      <c r="I46" s="124">
        <v>100</v>
      </c>
      <c r="J46" s="124">
        <v>10</v>
      </c>
      <c r="K46" s="124">
        <v>5</v>
      </c>
      <c r="L46" s="129">
        <f>IFERROR((($E46*$I46)+($E46*$J46*0.8)+($E46*$K46*0.9)),0)</f>
        <v>2557.125</v>
      </c>
      <c r="M46" s="129">
        <f>IFERROR((($F46*$I46)+($F46*$J46*0.8)+($F46*$K46*0.9)),0)</f>
        <v>2557.125</v>
      </c>
      <c r="N46" s="129">
        <f>IFERROR($M46-$L46,0)</f>
        <v>0</v>
      </c>
    </row>
    <row r="47" spans="1:14" s="75" customFormat="1" ht="15">
      <c r="A47" s="122"/>
      <c r="B47" s="123"/>
      <c r="C47" s="126"/>
      <c r="D47" s="127"/>
      <c r="E47" s="127">
        <f t="shared" si="21" ref="E47:E50">ROUND($D47*$B$9*$B$10,2)</f>
        <v>0</v>
      </c>
      <c r="F47" s="127"/>
      <c r="G47" s="128">
        <f>IFERROR(($F47/$E47)-1,0)</f>
        <v>0</v>
      </c>
      <c r="H47" s="128">
        <f t="shared" si="22" ref="H47:H50">IFERROR(($F47/$D47)-1,0)</f>
        <v>0</v>
      </c>
      <c r="I47" s="124"/>
      <c r="J47" s="124"/>
      <c r="K47" s="124"/>
      <c r="L47" s="129">
        <f t="shared" si="23" ref="L47:L50">IFERROR((($E47*$I47)+($E47*$J47*0.8)+($E47*$K47*0.9))*12,0)</f>
        <v>0</v>
      </c>
      <c r="M47" s="129">
        <f t="shared" si="24" ref="M47:M50">IFERROR((($F47*$I47)+($F47*$J47*0.8)+($F47*$K47*0.9))*12,0)</f>
        <v>0</v>
      </c>
      <c r="N47" s="129">
        <f>IFERROR($M47-$L47,0)</f>
        <v>0</v>
      </c>
    </row>
    <row r="48" spans="1:14" s="75" customFormat="1" ht="15">
      <c r="A48" s="122"/>
      <c r="B48" s="123"/>
      <c r="C48" s="126"/>
      <c r="D48" s="127"/>
      <c r="E48" s="127">
        <f>ROUND($D48*$B$9*$B$10,2)</f>
        <v>0</v>
      </c>
      <c r="F48" s="127"/>
      <c r="G48" s="128">
        <f t="shared" si="25" ref="G48:G50">IFERROR(($F48/$E48)-1,0)</f>
        <v>0</v>
      </c>
      <c r="H48" s="128">
        <f>IFERROR(($F48/$D48)-1,0)</f>
        <v>0</v>
      </c>
      <c r="I48" s="124"/>
      <c r="J48" s="124"/>
      <c r="K48" s="124"/>
      <c r="L48" s="129">
        <f>IFERROR((($E48*$I48)+($E48*$J48*0.8)+($E48*$K48*0.9))*12,0)</f>
        <v>0</v>
      </c>
      <c r="M48" s="129">
        <f>IFERROR((($F48*$I48)+($F48*$J48*0.8)+($F48*$K48*0.9))*12,0)</f>
        <v>0</v>
      </c>
      <c r="N48" s="129">
        <f>IFERROR($M48-$L48,0)</f>
        <v>0</v>
      </c>
    </row>
    <row r="49" spans="1:14" s="75" customFormat="1" ht="15">
      <c r="A49" s="122"/>
      <c r="B49" s="123"/>
      <c r="C49" s="126"/>
      <c r="D49" s="127"/>
      <c r="E49" s="127">
        <f>ROUND($D49*$B$9*$B$10,2)</f>
        <v>0</v>
      </c>
      <c r="F49" s="127"/>
      <c r="G49" s="128">
        <f>IFERROR(($F49/$E49)-1,0)</f>
        <v>0</v>
      </c>
      <c r="H49" s="128">
        <f>IFERROR(($F49/$D49)-1,0)</f>
        <v>0</v>
      </c>
      <c r="I49" s="124"/>
      <c r="J49" s="124"/>
      <c r="K49" s="124"/>
      <c r="L49" s="129">
        <f>IFERROR((($E49*$I49)+($E49*$J49*0.8)+($E49*$K49*0.9))*12,0)</f>
        <v>0</v>
      </c>
      <c r="M49" s="129">
        <f>IFERROR((($F49*$I49)+($F49*$J49*0.8)+($F49*$K49*0.9))*12,0)</f>
        <v>0</v>
      </c>
      <c r="N49" s="129">
        <f>IFERROR($M49-$L49,0)</f>
        <v>0</v>
      </c>
    </row>
    <row r="50" spans="1:14" s="75" customFormat="1" ht="15">
      <c r="A50" s="122"/>
      <c r="B50" s="123"/>
      <c r="C50" s="126"/>
      <c r="D50" s="127"/>
      <c r="E50" s="127">
        <f>ROUND($D50*$B$9*$B$10,2)</f>
        <v>0</v>
      </c>
      <c r="F50" s="127"/>
      <c r="G50" s="128">
        <f>IFERROR(($F50/$E50)-1,0)</f>
        <v>0</v>
      </c>
      <c r="H50" s="128">
        <f>IFERROR(($F50/$D50)-1,0)</f>
        <v>0</v>
      </c>
      <c r="I50" s="124"/>
      <c r="J50" s="124"/>
      <c r="K50" s="124"/>
      <c r="L50" s="129">
        <f>IFERROR((($E50*$I50)+($E50*$J50*0.8)+($E50*$K50*0.9))*12,0)</f>
        <v>0</v>
      </c>
      <c r="M50" s="129">
        <f>IFERROR((($F50*$I50)+($F50*$J50*0.8)+($F50*$K50*0.9))*12,0)</f>
        <v>0</v>
      </c>
      <c r="N50" s="129">
        <f>IFERROR($M50-$L50,0)</f>
        <v>0</v>
      </c>
    </row>
    <row r="51" spans="1:14" s="75" customFormat="1" ht="15">
      <c r="A51" s="122"/>
      <c r="B51" s="21" t="s">
        <v>52</v>
      </c>
      <c r="C51" s="21" t="s">
        <v>53</v>
      </c>
      <c r="D51" s="127"/>
      <c r="E51" s="127"/>
      <c r="F51" s="127"/>
      <c r="G51" s="128"/>
      <c r="H51" s="128"/>
      <c r="I51" s="124"/>
      <c r="J51" s="124"/>
      <c r="K51" s="124"/>
      <c r="L51" s="125"/>
      <c r="M51" s="125"/>
      <c r="N51" s="125"/>
    </row>
    <row r="52" spans="1:14" s="75" customFormat="1" ht="15">
      <c r="A52" s="122" t="s">
        <v>62</v>
      </c>
      <c r="B52" s="123" t="s">
        <v>68</v>
      </c>
      <c r="C52" s="126" t="s">
        <v>53</v>
      </c>
      <c r="D52" s="127">
        <v>25</v>
      </c>
      <c r="E52" s="127">
        <f>ROUND($D52*$B$9*$B$10,2)</f>
        <v>28.41</v>
      </c>
      <c r="F52" s="127">
        <v>28.41</v>
      </c>
      <c r="G52" s="128">
        <f>IFERROR(($F52/$E52)-1,0)</f>
        <v>0</v>
      </c>
      <c r="H52" s="128">
        <f>IFERROR(($F52/$D52)-1,0)</f>
        <v>0.13640000000000008</v>
      </c>
      <c r="I52" s="124">
        <v>100</v>
      </c>
      <c r="J52" s="124">
        <v>10</v>
      </c>
      <c r="K52" s="124">
        <v>5</v>
      </c>
      <c r="L52" s="129">
        <f>IFERROR((($E52*$I52)+($E52*$J52*0.8)+($E52*$K52*0.9)),0)</f>
        <v>3196.125</v>
      </c>
      <c r="M52" s="129">
        <f>IFERROR((($F52*$I52)+($F52*$J52*0.8)+($F52*$K52*0.9)),0)</f>
        <v>3196.125</v>
      </c>
      <c r="N52" s="129">
        <f>IFERROR($M52-$L52,0)</f>
        <v>0</v>
      </c>
    </row>
    <row r="53" spans="1:14" s="75" customFormat="1" ht="15">
      <c r="A53" s="122"/>
      <c r="B53" s="123"/>
      <c r="C53" s="126"/>
      <c r="D53" s="127"/>
      <c r="E53" s="127">
        <f t="shared" si="26" ref="E53:E56">ROUND($D53*$B$9*$B$10,2)</f>
        <v>0</v>
      </c>
      <c r="F53" s="127"/>
      <c r="G53" s="128">
        <f>IFERROR(($F53/$E53)-1,0)</f>
        <v>0</v>
      </c>
      <c r="H53" s="128">
        <f t="shared" si="27" ref="H53:H56">IFERROR(($F53/$D53)-1,0)</f>
        <v>0</v>
      </c>
      <c r="I53" s="124"/>
      <c r="J53" s="124"/>
      <c r="K53" s="124"/>
      <c r="L53" s="129">
        <f t="shared" si="28" ref="L53:L56">IFERROR((($E53*$I53)+($E53*$J53*0.8)+($E53*$K53*0.9))*12,0)</f>
        <v>0</v>
      </c>
      <c r="M53" s="129">
        <f t="shared" si="29" ref="M53:M56">IFERROR((($F53*$I53)+($F53*$J53*0.8)+($F53*$K53*0.9))*12,0)</f>
        <v>0</v>
      </c>
      <c r="N53" s="129">
        <f>IFERROR($M53-$L53,0)</f>
        <v>0</v>
      </c>
    </row>
    <row r="54" spans="1:14" s="75" customFormat="1" ht="15">
      <c r="A54" s="122"/>
      <c r="B54" s="123"/>
      <c r="C54" s="126"/>
      <c r="D54" s="127"/>
      <c r="E54" s="127">
        <f>ROUND($D54*$B$9*$B$10,2)</f>
        <v>0</v>
      </c>
      <c r="F54" s="127"/>
      <c r="G54" s="128">
        <f t="shared" si="30" ref="G54:G56">IFERROR(($F54/$E54)-1,0)</f>
        <v>0</v>
      </c>
      <c r="H54" s="128">
        <f>IFERROR(($F54/$D54)-1,0)</f>
        <v>0</v>
      </c>
      <c r="I54" s="124"/>
      <c r="J54" s="124"/>
      <c r="K54" s="124"/>
      <c r="L54" s="129">
        <f>IFERROR((($E54*$I54)+($E54*$J54*0.8)+($E54*$K54*0.9))*12,0)</f>
        <v>0</v>
      </c>
      <c r="M54" s="129">
        <f>IFERROR((($F54*$I54)+($F54*$J54*0.8)+($F54*$K54*0.9))*12,0)</f>
        <v>0</v>
      </c>
      <c r="N54" s="129">
        <f>IFERROR($M54-$L54,0)</f>
        <v>0</v>
      </c>
    </row>
    <row r="55" spans="1:14" s="75" customFormat="1" ht="15">
      <c r="A55" s="122"/>
      <c r="B55" s="123"/>
      <c r="C55" s="126"/>
      <c r="D55" s="127"/>
      <c r="E55" s="127">
        <f>ROUND($D55*$B$9*$B$10,2)</f>
        <v>0</v>
      </c>
      <c r="F55" s="127"/>
      <c r="G55" s="128">
        <f>IFERROR(($F55/$E55)-1,0)</f>
        <v>0</v>
      </c>
      <c r="H55" s="128">
        <f>IFERROR(($F55/$D55)-1,0)</f>
        <v>0</v>
      </c>
      <c r="I55" s="124"/>
      <c r="J55" s="124"/>
      <c r="K55" s="124"/>
      <c r="L55" s="129">
        <f>IFERROR((($E55*$I55)+($E55*$J55*0.8)+($E55*$K55*0.9))*12,0)</f>
        <v>0</v>
      </c>
      <c r="M55" s="129">
        <f>IFERROR((($F55*$I55)+($F55*$J55*0.8)+($F55*$K55*0.9))*12,0)</f>
        <v>0</v>
      </c>
      <c r="N55" s="129">
        <f>IFERROR($M55-$L55,0)</f>
        <v>0</v>
      </c>
    </row>
    <row r="56" spans="1:14" s="75" customFormat="1" ht="15">
      <c r="A56" s="122"/>
      <c r="B56" s="123"/>
      <c r="C56" s="126"/>
      <c r="D56" s="127"/>
      <c r="E56" s="127">
        <f>ROUND($D56*$B$9*$B$10,2)</f>
        <v>0</v>
      </c>
      <c r="F56" s="127"/>
      <c r="G56" s="128">
        <f>IFERROR(($F56/$E56)-1,0)</f>
        <v>0</v>
      </c>
      <c r="H56" s="128">
        <f>IFERROR(($F56/$D56)-1,0)</f>
        <v>0</v>
      </c>
      <c r="I56" s="124"/>
      <c r="J56" s="124"/>
      <c r="K56" s="124"/>
      <c r="L56" s="129">
        <f>IFERROR((($E56*$I56)+($E56*$J56*0.8)+($E56*$K56*0.9))*12,0)</f>
        <v>0</v>
      </c>
      <c r="M56" s="129">
        <f>IFERROR((($F56*$I56)+($F56*$J56*0.8)+($F56*$K56*0.9))*12,0)</f>
        <v>0</v>
      </c>
      <c r="N56" s="129">
        <f>IFERROR($M56-$L56,0)</f>
        <v>0</v>
      </c>
    </row>
    <row r="57" spans="1:14" s="75" customFormat="1" ht="15">
      <c r="A57" s="122"/>
      <c r="B57" s="21" t="s">
        <v>54</v>
      </c>
      <c r="C57" s="21" t="s">
        <v>55</v>
      </c>
      <c r="D57" s="127"/>
      <c r="E57" s="127"/>
      <c r="F57" s="127"/>
      <c r="G57" s="128"/>
      <c r="H57" s="128"/>
      <c r="I57" s="124"/>
      <c r="J57" s="124"/>
      <c r="K57" s="124"/>
      <c r="L57" s="125"/>
      <c r="M57" s="125"/>
      <c r="N57" s="125"/>
    </row>
    <row r="58" spans="1:14" s="75" customFormat="1" ht="15">
      <c r="A58" s="122" t="s">
        <v>62</v>
      </c>
      <c r="B58" s="123" t="s">
        <v>69</v>
      </c>
      <c r="C58" s="126" t="s">
        <v>55</v>
      </c>
      <c r="D58" s="127">
        <v>30</v>
      </c>
      <c r="E58" s="127">
        <f>ROUND($D58*$B$9*$B$10,2)</f>
        <v>34.09</v>
      </c>
      <c r="F58" s="127">
        <v>34.09</v>
      </c>
      <c r="G58" s="128">
        <f>IFERROR(($F58/$E58)-1,0)</f>
        <v>0</v>
      </c>
      <c r="H58" s="128">
        <f>IFERROR(($F58/$D58)-1,0)</f>
        <v>0.13633333333333342</v>
      </c>
      <c r="I58" s="124">
        <v>100</v>
      </c>
      <c r="J58" s="124">
        <v>10</v>
      </c>
      <c r="K58" s="124">
        <v>5</v>
      </c>
      <c r="L58" s="129">
        <f>IFERROR((($E58*$I58)+($E58*$J58*0.8)+($E58*$K58*0.9)),0)</f>
        <v>3835.1250000000005</v>
      </c>
      <c r="M58" s="129">
        <f>IFERROR((($F58*$I58)+($F58*$J58*0.8)+($F58*$K58*0.9)),0)</f>
        <v>3835.1250000000005</v>
      </c>
      <c r="N58" s="129">
        <f>IFERROR($M58-$L58,0)</f>
        <v>0</v>
      </c>
    </row>
    <row r="59" spans="1:14" s="75" customFormat="1" ht="15">
      <c r="A59" s="122"/>
      <c r="B59" s="123"/>
      <c r="C59" s="126"/>
      <c r="D59" s="127"/>
      <c r="E59" s="127">
        <f t="shared" si="31" ref="E59:E62">ROUND($D59*$B$9*$B$10,2)</f>
        <v>0</v>
      </c>
      <c r="F59" s="127"/>
      <c r="G59" s="128">
        <f>IFERROR(($F59/$E59)-1,0)</f>
        <v>0</v>
      </c>
      <c r="H59" s="128">
        <f t="shared" si="32" ref="H59:H62">IFERROR(($F59/$D59)-1,0)</f>
        <v>0</v>
      </c>
      <c r="I59" s="124"/>
      <c r="J59" s="124"/>
      <c r="K59" s="124"/>
      <c r="L59" s="129">
        <f t="shared" si="33" ref="L59:L62">IFERROR((($E59*$I59)+($E59*$J59*0.8)+($E59*$K59*0.9))*12,0)</f>
        <v>0</v>
      </c>
      <c r="M59" s="129">
        <f t="shared" si="34" ref="M59:M62">IFERROR((($F59*$I59)+($F59*$J59*0.8)+($F59*$K59*0.9))*12,0)</f>
        <v>0</v>
      </c>
      <c r="N59" s="129">
        <f>IFERROR($M59-$L59,0)</f>
        <v>0</v>
      </c>
    </row>
    <row r="60" spans="1:14" s="75" customFormat="1" ht="15">
      <c r="A60" s="122"/>
      <c r="B60" s="123"/>
      <c r="C60" s="126"/>
      <c r="D60" s="127"/>
      <c r="E60" s="127">
        <f>ROUND($D60*$B$9*$B$10,2)</f>
        <v>0</v>
      </c>
      <c r="F60" s="127"/>
      <c r="G60" s="128">
        <f t="shared" si="35" ref="G60:G62">IFERROR(($F60/$E60)-1,0)</f>
        <v>0</v>
      </c>
      <c r="H60" s="128">
        <f>IFERROR(($F60/$D60)-1,0)</f>
        <v>0</v>
      </c>
      <c r="I60" s="124"/>
      <c r="J60" s="124"/>
      <c r="K60" s="124"/>
      <c r="L60" s="129">
        <f>IFERROR((($E60*$I60)+($E60*$J60*0.8)+($E60*$K60*0.9))*12,0)</f>
        <v>0</v>
      </c>
      <c r="M60" s="129">
        <f>IFERROR((($F60*$I60)+($F60*$J60*0.8)+($F60*$K60*0.9))*12,0)</f>
        <v>0</v>
      </c>
      <c r="N60" s="129">
        <f>IFERROR($M60-$L60,0)</f>
        <v>0</v>
      </c>
    </row>
    <row r="61" spans="1:14" s="75" customFormat="1" ht="15">
      <c r="A61" s="122"/>
      <c r="B61" s="123"/>
      <c r="C61" s="126"/>
      <c r="D61" s="127"/>
      <c r="E61" s="127">
        <f>ROUND($D61*$B$9*$B$10,2)</f>
        <v>0</v>
      </c>
      <c r="F61" s="127"/>
      <c r="G61" s="128">
        <f>IFERROR(($F61/$E61)-1,0)</f>
        <v>0</v>
      </c>
      <c r="H61" s="128">
        <f>IFERROR(($F61/$D61)-1,0)</f>
        <v>0</v>
      </c>
      <c r="I61" s="124"/>
      <c r="J61" s="124"/>
      <c r="K61" s="124"/>
      <c r="L61" s="129">
        <f>IFERROR((($E61*$I61)+($E61*$J61*0.8)+($E61*$K61*0.9))*12,0)</f>
        <v>0</v>
      </c>
      <c r="M61" s="129">
        <f>IFERROR((($F61*$I61)+($F61*$J61*0.8)+($F61*$K61*0.9))*12,0)</f>
        <v>0</v>
      </c>
      <c r="N61" s="129">
        <f>IFERROR($M61-$L61,0)</f>
        <v>0</v>
      </c>
    </row>
    <row r="62" spans="1:14" s="75" customFormat="1" ht="15">
      <c r="A62" s="122"/>
      <c r="B62" s="123"/>
      <c r="C62" s="126"/>
      <c r="D62" s="127"/>
      <c r="E62" s="127">
        <f>ROUND($D62*$B$9*$B$10,2)</f>
        <v>0</v>
      </c>
      <c r="F62" s="127"/>
      <c r="G62" s="128">
        <f>IFERROR(($F62/$E62)-1,0)</f>
        <v>0</v>
      </c>
      <c r="H62" s="128">
        <f>IFERROR(($F62/$D62)-1,0)</f>
        <v>0</v>
      </c>
      <c r="I62" s="124"/>
      <c r="J62" s="124"/>
      <c r="K62" s="124"/>
      <c r="L62" s="129">
        <f>IFERROR((($E62*$I62)+($E62*$J62*0.8)+($E62*$K62*0.9))*12,0)</f>
        <v>0</v>
      </c>
      <c r="M62" s="129">
        <f>IFERROR((($F62*$I62)+($F62*$J62*0.8)+($F62*$K62*0.9))*12,0)</f>
        <v>0</v>
      </c>
      <c r="N62" s="129">
        <f>IFERROR($M62-$L62,0)</f>
        <v>0</v>
      </c>
    </row>
    <row r="63" spans="1:14" s="75" customFormat="1" ht="15">
      <c r="A63" s="122"/>
      <c r="B63" s="21" t="s">
        <v>57</v>
      </c>
      <c r="C63" s="21" t="s">
        <v>58</v>
      </c>
      <c r="D63" s="127"/>
      <c r="E63" s="127"/>
      <c r="F63" s="127"/>
      <c r="G63" s="128"/>
      <c r="H63" s="128"/>
      <c r="I63" s="124"/>
      <c r="J63" s="124"/>
      <c r="K63" s="124"/>
      <c r="L63" s="125"/>
      <c r="M63" s="125"/>
      <c r="N63" s="125"/>
    </row>
    <row r="64" spans="1:14" s="75" customFormat="1" ht="15">
      <c r="A64" s="122" t="s">
        <v>62</v>
      </c>
      <c r="B64" s="123" t="s">
        <v>70</v>
      </c>
      <c r="C64" s="126" t="s">
        <v>58</v>
      </c>
      <c r="D64" s="127">
        <v>35</v>
      </c>
      <c r="E64" s="127">
        <f>ROUND($D64*$B$9*$B$10,2)</f>
        <v>39.77</v>
      </c>
      <c r="F64" s="127">
        <v>39.77</v>
      </c>
      <c r="G64" s="128">
        <f>IFERROR(($F64/$E64)-1,0)</f>
        <v>0</v>
      </c>
      <c r="H64" s="128">
        <f>IFERROR(($F64/$D64)-1,0)</f>
        <v>0.13628571428571434</v>
      </c>
      <c r="I64" s="124">
        <v>100</v>
      </c>
      <c r="J64" s="124">
        <v>10</v>
      </c>
      <c r="K64" s="124">
        <v>5</v>
      </c>
      <c r="L64" s="129">
        <f>IFERROR((($E64*$I64)+($E64*$J64*0.8)+($E64*$K64*0.9)),0)</f>
        <v>4474.125000000001</v>
      </c>
      <c r="M64" s="129">
        <f>IFERROR((($F64*$I64)+($F64*$J64*0.8)+($F64*$K64*0.9)),0)</f>
        <v>4474.125000000001</v>
      </c>
      <c r="N64" s="129">
        <f>IFERROR($M64-$L64,0)</f>
        <v>0</v>
      </c>
    </row>
    <row r="65" spans="1:14" s="75" customFormat="1" ht="15">
      <c r="A65" s="122"/>
      <c r="B65" s="123"/>
      <c r="C65" s="126"/>
      <c r="D65" s="127"/>
      <c r="E65" s="127">
        <f t="shared" si="36" ref="E65:E68">ROUND($D65*$B$9*$B$10,2)</f>
        <v>0</v>
      </c>
      <c r="F65" s="127"/>
      <c r="G65" s="128">
        <f>IFERROR(($F65/$E65)-1,0)</f>
        <v>0</v>
      </c>
      <c r="H65" s="128">
        <f t="shared" si="37" ref="H65:H68">IFERROR(($F65/$D65)-1,0)</f>
        <v>0</v>
      </c>
      <c r="I65" s="124"/>
      <c r="J65" s="124"/>
      <c r="K65" s="124"/>
      <c r="L65" s="129">
        <f t="shared" si="38" ref="L65:L68">IFERROR((($E65*$I65)+($E65*$J65*0.8)+($E65*$K65*0.9))*12,0)</f>
        <v>0</v>
      </c>
      <c r="M65" s="129">
        <f t="shared" si="39" ref="M65:M68">IFERROR((($F65*$I65)+($F65*$J65*0.8)+($F65*$K65*0.9))*12,0)</f>
        <v>0</v>
      </c>
      <c r="N65" s="129">
        <f>IFERROR($M65-$L65,0)</f>
        <v>0</v>
      </c>
    </row>
    <row r="66" spans="1:14" s="75" customFormat="1" ht="15">
      <c r="A66" s="122"/>
      <c r="B66" s="123"/>
      <c r="C66" s="126"/>
      <c r="D66" s="127"/>
      <c r="E66" s="127">
        <f>ROUND($D66*$B$9*$B$10,2)</f>
        <v>0</v>
      </c>
      <c r="F66" s="127"/>
      <c r="G66" s="128">
        <f t="shared" si="40" ref="G66:G68">IFERROR(($F66/$E66)-1,0)</f>
        <v>0</v>
      </c>
      <c r="H66" s="128">
        <f>IFERROR(($F66/$D66)-1,0)</f>
        <v>0</v>
      </c>
      <c r="I66" s="124"/>
      <c r="J66" s="124"/>
      <c r="K66" s="124"/>
      <c r="L66" s="129">
        <f>IFERROR((($E66*$I66)+($E66*$J66*0.8)+($E66*$K66*0.9))*12,0)</f>
        <v>0</v>
      </c>
      <c r="M66" s="129">
        <f>IFERROR((($F66*$I66)+($F66*$J66*0.8)+($F66*$K66*0.9))*12,0)</f>
        <v>0</v>
      </c>
      <c r="N66" s="129">
        <f>IFERROR($M66-$L66,0)</f>
        <v>0</v>
      </c>
    </row>
    <row r="67" spans="1:14" s="75" customFormat="1" ht="15">
      <c r="A67" s="122"/>
      <c r="B67" s="123"/>
      <c r="C67" s="126"/>
      <c r="D67" s="127"/>
      <c r="E67" s="127">
        <f>ROUND($D67*$B$9*$B$10,2)</f>
        <v>0</v>
      </c>
      <c r="F67" s="127"/>
      <c r="G67" s="128">
        <f>IFERROR(($F67/$E67)-1,0)</f>
        <v>0</v>
      </c>
      <c r="H67" s="128">
        <f>IFERROR(($F67/$D67)-1,0)</f>
        <v>0</v>
      </c>
      <c r="I67" s="124"/>
      <c r="J67" s="124"/>
      <c r="K67" s="124"/>
      <c r="L67" s="129">
        <f>IFERROR((($E67*$I67)+($E67*$J67*0.8)+($E67*$K67*0.9))*12,0)</f>
        <v>0</v>
      </c>
      <c r="M67" s="129">
        <f>IFERROR((($F67*$I67)+($F67*$J67*0.8)+($F67*$K67*0.9))*12,0)</f>
        <v>0</v>
      </c>
      <c r="N67" s="129">
        <f>IFERROR($M67-$L67,0)</f>
        <v>0</v>
      </c>
    </row>
    <row r="68" spans="1:14" s="75" customFormat="1" ht="15">
      <c r="A68" s="122"/>
      <c r="B68" s="123"/>
      <c r="C68" s="126"/>
      <c r="D68" s="127"/>
      <c r="E68" s="127">
        <f>ROUND($D68*$B$9*$B$10,2)</f>
        <v>0</v>
      </c>
      <c r="F68" s="127"/>
      <c r="G68" s="128">
        <f>IFERROR(($F68/$E68)-1,0)</f>
        <v>0</v>
      </c>
      <c r="H68" s="128">
        <f>IFERROR(($F68/$D68)-1,0)</f>
        <v>0</v>
      </c>
      <c r="I68" s="124"/>
      <c r="J68" s="124"/>
      <c r="K68" s="124"/>
      <c r="L68" s="129">
        <f>IFERROR((($E68*$I68)+($E68*$J68*0.8)+($E68*$K68*0.9))*12,0)</f>
        <v>0</v>
      </c>
      <c r="M68" s="129">
        <f>IFERROR((($F68*$I68)+($F68*$J68*0.8)+($F68*$K68*0.9))*12,0)</f>
        <v>0</v>
      </c>
      <c r="N68" s="129">
        <f>IFERROR($M68-$L68,0)</f>
        <v>0</v>
      </c>
    </row>
    <row r="69" spans="1:14" s="75" customFormat="1" ht="30">
      <c r="A69" s="122"/>
      <c r="B69" s="21" t="s">
        <v>59</v>
      </c>
      <c r="C69" s="21" t="s">
        <v>60</v>
      </c>
      <c r="D69" s="127"/>
      <c r="E69" s="127"/>
      <c r="F69" s="127"/>
      <c r="G69" s="128"/>
      <c r="H69" s="128"/>
      <c r="I69" s="124"/>
      <c r="J69" s="124"/>
      <c r="K69" s="124"/>
      <c r="L69" s="125"/>
      <c r="M69" s="125"/>
      <c r="N69" s="125"/>
    </row>
    <row r="70" spans="1:14" s="75" customFormat="1" ht="15">
      <c r="A70" s="122" t="s">
        <v>62</v>
      </c>
      <c r="B70" s="123" t="s">
        <v>71</v>
      </c>
      <c r="C70" s="126" t="s">
        <v>60</v>
      </c>
      <c r="D70" s="127">
        <v>40</v>
      </c>
      <c r="E70" s="127">
        <f>ROUND($D70*$B$9*$B$10,2)</f>
        <v>45.45</v>
      </c>
      <c r="F70" s="127">
        <v>45.45</v>
      </c>
      <c r="G70" s="128">
        <f>IFERROR(($F70/$E70)-1,0)</f>
        <v>0</v>
      </c>
      <c r="H70" s="128">
        <f>IFERROR(($F70/$D70)-1,0)</f>
        <v>0.13624999999999998</v>
      </c>
      <c r="I70" s="124">
        <v>100</v>
      </c>
      <c r="J70" s="124">
        <v>10</v>
      </c>
      <c r="K70" s="124">
        <v>5</v>
      </c>
      <c r="L70" s="129">
        <f>IFERROR((($E70*$I70)+($E70*$J70*0.8)+($E70*$K70*0.9)),0)</f>
        <v>5113.125</v>
      </c>
      <c r="M70" s="129">
        <f>IFERROR((($F70*$I70)+($F70*$J70*0.8)+($F70*$K70*0.9)),0)</f>
        <v>5113.125</v>
      </c>
      <c r="N70" s="129">
        <f>IFERROR($M70-$L70,0)</f>
        <v>0</v>
      </c>
    </row>
    <row r="71" spans="1:14" s="75" customFormat="1" ht="15">
      <c r="A71" s="122"/>
      <c r="B71" s="123"/>
      <c r="C71" s="126"/>
      <c r="D71" s="127"/>
      <c r="E71" s="127">
        <f t="shared" si="41" ref="E71:E74">ROUND($D71*$B$9*$B$10,2)</f>
        <v>0</v>
      </c>
      <c r="F71" s="127"/>
      <c r="G71" s="128">
        <f>IFERROR(($F71/$E71)-1,0)</f>
        <v>0</v>
      </c>
      <c r="H71" s="128">
        <f t="shared" si="42" ref="H71:H74">IFERROR(($F71/$D71)-1,0)</f>
        <v>0</v>
      </c>
      <c r="I71" s="124"/>
      <c r="J71" s="124"/>
      <c r="K71" s="124"/>
      <c r="L71" s="129">
        <f t="shared" si="43" ref="L71:L74">IFERROR((($E71*$I71)+($E71*$J71*0.8)+($E71*$K71*0.9))*12,0)</f>
        <v>0</v>
      </c>
      <c r="M71" s="129">
        <f t="shared" si="44" ref="M71:M74">IFERROR((($F71*$I71)+($F71*$J71*0.8)+($F71*$K71*0.9))*12,0)</f>
        <v>0</v>
      </c>
      <c r="N71" s="129">
        <f>IFERROR($M71-$L71,0)</f>
        <v>0</v>
      </c>
    </row>
    <row r="72" spans="1:14" s="75" customFormat="1" ht="15">
      <c r="A72" s="122"/>
      <c r="B72" s="123"/>
      <c r="C72" s="126"/>
      <c r="D72" s="127"/>
      <c r="E72" s="127">
        <f>ROUND($D72*$B$9*$B$10,2)</f>
        <v>0</v>
      </c>
      <c r="F72" s="127"/>
      <c r="G72" s="128">
        <f t="shared" si="45" ref="G72:G74">IFERROR(($F72/$E72)-1,0)</f>
        <v>0</v>
      </c>
      <c r="H72" s="128">
        <f>IFERROR(($F72/$D72)-1,0)</f>
        <v>0</v>
      </c>
      <c r="I72" s="124"/>
      <c r="J72" s="124"/>
      <c r="K72" s="124"/>
      <c r="L72" s="129">
        <f>IFERROR((($E72*$I72)+($E72*$J72*0.8)+($E72*$K72*0.9))*12,0)</f>
        <v>0</v>
      </c>
      <c r="M72" s="129">
        <f>IFERROR((($F72*$I72)+($F72*$J72*0.8)+($F72*$K72*0.9))*12,0)</f>
        <v>0</v>
      </c>
      <c r="N72" s="129">
        <f>IFERROR($M72-$L72,0)</f>
        <v>0</v>
      </c>
    </row>
    <row r="73" spans="1:14" s="75" customFormat="1" ht="15">
      <c r="A73" s="122"/>
      <c r="B73" s="123"/>
      <c r="C73" s="126"/>
      <c r="D73" s="127"/>
      <c r="E73" s="127">
        <f>ROUND($D73*$B$9*$B$10,2)</f>
        <v>0</v>
      </c>
      <c r="F73" s="127"/>
      <c r="G73" s="128">
        <f>IFERROR(($F73/$E73)-1,0)</f>
        <v>0</v>
      </c>
      <c r="H73" s="128">
        <f>IFERROR(($F73/$D73)-1,0)</f>
        <v>0</v>
      </c>
      <c r="I73" s="124"/>
      <c r="J73" s="124"/>
      <c r="K73" s="124"/>
      <c r="L73" s="129">
        <f>IFERROR((($E73*$I73)+($E73*$J73*0.8)+($E73*$K73*0.9))*12,0)</f>
        <v>0</v>
      </c>
      <c r="M73" s="129">
        <f>IFERROR((($F73*$I73)+($F73*$J73*0.8)+($F73*$K73*0.9))*12,0)</f>
        <v>0</v>
      </c>
      <c r="N73" s="129">
        <f>IFERROR($M73-$L73,0)</f>
        <v>0</v>
      </c>
    </row>
    <row r="74" spans="1:14" s="75" customFormat="1" ht="15">
      <c r="A74" s="122"/>
      <c r="B74" s="123"/>
      <c r="C74" s="126"/>
      <c r="D74" s="127"/>
      <c r="E74" s="127">
        <f>ROUND($D74*$B$9*$B$10,2)</f>
        <v>0</v>
      </c>
      <c r="F74" s="127"/>
      <c r="G74" s="128">
        <f>IFERROR(($F74/$E74)-1,0)</f>
        <v>0</v>
      </c>
      <c r="H74" s="128">
        <f>IFERROR(($F74/$D74)-1,0)</f>
        <v>0</v>
      </c>
      <c r="I74" s="124"/>
      <c r="J74" s="124"/>
      <c r="K74" s="124"/>
      <c r="L74" s="129">
        <f>IFERROR((($E74*$I74)+($E74*$J74*0.8)+($E74*$K74*0.9))*12,0)</f>
        <v>0</v>
      </c>
      <c r="M74" s="129">
        <f>IFERROR((($F74*$I74)+($F74*$J74*0.8)+($F74*$K74*0.9))*12,0)</f>
        <v>0</v>
      </c>
      <c r="N74" s="129">
        <f>IFERROR($M74-$L74,0)</f>
        <v>0</v>
      </c>
    </row>
    <row r="75" spans="1:14" s="75" customFormat="1" ht="30">
      <c r="A75" s="122"/>
      <c r="B75" s="21" t="s">
        <v>78</v>
      </c>
      <c r="C75" s="21" t="s">
        <v>80</v>
      </c>
      <c r="D75" s="127"/>
      <c r="E75" s="127"/>
      <c r="F75" s="127"/>
      <c r="G75" s="128"/>
      <c r="H75" s="128"/>
      <c r="I75" s="124"/>
      <c r="J75" s="124"/>
      <c r="K75" s="124"/>
      <c r="L75" s="125"/>
      <c r="M75" s="125"/>
      <c r="N75" s="125"/>
    </row>
    <row r="76" spans="1:14" s="75" customFormat="1" ht="15">
      <c r="A76" s="122" t="s">
        <v>62</v>
      </c>
      <c r="B76" s="123" t="s">
        <v>79</v>
      </c>
      <c r="C76" s="126" t="s">
        <v>80</v>
      </c>
      <c r="D76" s="127">
        <v>45</v>
      </c>
      <c r="E76" s="127">
        <f>ROUND($D76*$B$9*$B$10,2)</f>
        <v>51.14</v>
      </c>
      <c r="F76" s="127">
        <v>51.14</v>
      </c>
      <c r="G76" s="128">
        <f>IFERROR(($F76/$E76)-1,0)</f>
        <v>0</v>
      </c>
      <c r="H76" s="128">
        <f>IFERROR(($F76/$D76)-1,0)</f>
        <v>0.13644444444444437</v>
      </c>
      <c r="I76" s="124">
        <v>100</v>
      </c>
      <c r="J76" s="124">
        <v>10</v>
      </c>
      <c r="K76" s="124">
        <v>5</v>
      </c>
      <c r="L76" s="129">
        <f>IFERROR((($E76*$I76)+($E76*$J76*0.8)+($E76*$K76*0.9)),0)</f>
        <v>5753.25</v>
      </c>
      <c r="M76" s="129">
        <f>IFERROR((($F76*$I76)+($F76*$J76*0.8)+($F76*$K76*0.9)),0)</f>
        <v>5753.25</v>
      </c>
      <c r="N76" s="129">
        <f>IFERROR($M76-$L76,0)</f>
        <v>0</v>
      </c>
    </row>
    <row r="77" spans="1:14" s="75" customFormat="1" ht="15">
      <c r="A77" s="122"/>
      <c r="B77" s="123"/>
      <c r="C77" s="126"/>
      <c r="D77" s="127"/>
      <c r="E77" s="127">
        <f t="shared" si="46" ref="E77:E80">ROUND($D77*$B$9*$B$10,2)</f>
        <v>0</v>
      </c>
      <c r="F77" s="127"/>
      <c r="G77" s="128">
        <f>IFERROR(($F77/$E77)-1,0)</f>
        <v>0</v>
      </c>
      <c r="H77" s="128">
        <f t="shared" si="47" ref="H77:H80">IFERROR(($F77/$D77)-1,0)</f>
        <v>0</v>
      </c>
      <c r="I77" s="124"/>
      <c r="J77" s="124"/>
      <c r="K77" s="124"/>
      <c r="L77" s="129">
        <f t="shared" si="48" ref="L77:L80">IFERROR((($E77*$I77)+($E77*$J77*0.8)+($E77*$K77*0.9))*12,0)</f>
        <v>0</v>
      </c>
      <c r="M77" s="129">
        <f t="shared" si="49" ref="M77:M80">IFERROR((($F77*$I77)+($F77*$J77*0.8)+($F77*$K77*0.9))*12,0)</f>
        <v>0</v>
      </c>
      <c r="N77" s="129">
        <f>IFERROR($M77-$L77,0)</f>
        <v>0</v>
      </c>
    </row>
    <row r="78" spans="1:14" s="75" customFormat="1" ht="15">
      <c r="A78" s="122"/>
      <c r="B78" s="123"/>
      <c r="C78" s="126"/>
      <c r="D78" s="127"/>
      <c r="E78" s="127">
        <f>ROUND($D78*$B$9*$B$10,2)</f>
        <v>0</v>
      </c>
      <c r="F78" s="127"/>
      <c r="G78" s="128">
        <f t="shared" si="50" ref="G78:G80">IFERROR(($F78/$E78)-1,0)</f>
        <v>0</v>
      </c>
      <c r="H78" s="128">
        <f>IFERROR(($F78/$D78)-1,0)</f>
        <v>0</v>
      </c>
      <c r="I78" s="124"/>
      <c r="J78" s="124"/>
      <c r="K78" s="124"/>
      <c r="L78" s="129">
        <f>IFERROR((($E78*$I78)+($E78*$J78*0.8)+($E78*$K78*0.9))*12,0)</f>
        <v>0</v>
      </c>
      <c r="M78" s="129">
        <f>IFERROR((($F78*$I78)+($F78*$J78*0.8)+($F78*$K78*0.9))*12,0)</f>
        <v>0</v>
      </c>
      <c r="N78" s="129">
        <f>IFERROR($M78-$L78,0)</f>
        <v>0</v>
      </c>
    </row>
    <row r="79" spans="1:14" s="75" customFormat="1" ht="15">
      <c r="A79" s="122"/>
      <c r="B79" s="123"/>
      <c r="C79" s="126"/>
      <c r="D79" s="127"/>
      <c r="E79" s="127">
        <f>ROUND($D79*$B$9*$B$10,2)</f>
        <v>0</v>
      </c>
      <c r="F79" s="127"/>
      <c r="G79" s="128">
        <f>IFERROR(($F79/$E79)-1,0)</f>
        <v>0</v>
      </c>
      <c r="H79" s="128">
        <f>IFERROR(($F79/$D79)-1,0)</f>
        <v>0</v>
      </c>
      <c r="I79" s="124"/>
      <c r="J79" s="124"/>
      <c r="K79" s="124"/>
      <c r="L79" s="129">
        <f>IFERROR((($E79*$I79)+($E79*$J79*0.8)+($E79*$K79*0.9))*12,0)</f>
        <v>0</v>
      </c>
      <c r="M79" s="129">
        <f>IFERROR((($F79*$I79)+($F79*$J79*0.8)+($F79*$K79*0.9))*12,0)</f>
        <v>0</v>
      </c>
      <c r="N79" s="129">
        <f>IFERROR($M79-$L79,0)</f>
        <v>0</v>
      </c>
    </row>
    <row r="80" spans="1:14" s="75" customFormat="1" ht="15">
      <c r="A80" s="122"/>
      <c r="B80" s="123"/>
      <c r="C80" s="126"/>
      <c r="D80" s="127"/>
      <c r="E80" s="127">
        <f>ROUND($D80*$B$9*$B$10,2)</f>
        <v>0</v>
      </c>
      <c r="F80" s="127"/>
      <c r="G80" s="128">
        <f>IFERROR(($F80/$E80)-1,0)</f>
        <v>0</v>
      </c>
      <c r="H80" s="128">
        <f>IFERROR(($F80/$D80)-1,0)</f>
        <v>0</v>
      </c>
      <c r="I80" s="124"/>
      <c r="J80" s="124"/>
      <c r="K80" s="124"/>
      <c r="L80" s="129">
        <f>IFERROR((($E80*$I80)+($E80*$J80*0.8)+($E80*$K80*0.9))*12,0)</f>
        <v>0</v>
      </c>
      <c r="M80" s="129">
        <f>IFERROR((($F80*$I80)+($F80*$J80*0.8)+($F80*$K80*0.9))*12,0)</f>
        <v>0</v>
      </c>
      <c r="N80" s="129">
        <f>IFERROR($M80-$L80,0)</f>
        <v>0</v>
      </c>
    </row>
    <row r="81" spans="1:14" s="75" customFormat="1" ht="15">
      <c r="A81" s="232"/>
      <c r="C81" s="108"/>
      <c r="D81" s="233"/>
      <c r="E81" s="233"/>
      <c r="F81" s="233"/>
      <c r="G81" s="234"/>
      <c r="H81" s="234"/>
      <c r="I81" s="235"/>
      <c r="J81" s="235"/>
      <c r="K81" s="235"/>
      <c r="L81" s="236"/>
      <c r="M81" s="236"/>
      <c r="N81" s="236"/>
    </row>
    <row r="82" spans="1:14" s="75" customFormat="1" ht="15">
      <c r="A82" s="232"/>
      <c r="C82" s="108"/>
      <c r="D82" s="233"/>
      <c r="E82" s="233"/>
      <c r="F82" s="233"/>
      <c r="G82" s="234"/>
      <c r="H82" s="234"/>
      <c r="I82" s="235"/>
      <c r="J82" s="235"/>
      <c r="K82" s="235"/>
      <c r="L82" s="236"/>
      <c r="M82" s="236"/>
      <c r="N82" s="236"/>
    </row>
    <row r="83" spans="13:16" ht="15.75" thickBot="1">
      <c r="M83" s="100"/>
      <c r="N83" s="100"/>
      <c r="O83" s="100"/>
      <c r="P83" s="100"/>
    </row>
    <row r="84" spans="1:16" ht="14.45" customHeight="1">
      <c r="A84" s="307" t="s">
        <v>26</v>
      </c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9"/>
      <c r="M84" s="97"/>
      <c r="N84" s="97"/>
      <c r="O84" s="97"/>
      <c r="P84" s="97"/>
    </row>
    <row r="85" spans="1:16" ht="14.45" customHeight="1" thickBot="1">
      <c r="A85" s="310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2"/>
      <c r="M85" s="97"/>
      <c r="N85" s="97"/>
      <c r="O85" s="97"/>
      <c r="P85" s="97"/>
    </row>
    <row r="86" spans="1:16" s="101" customFormat="1" ht="14.4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4:13" ht="15.75">
      <c r="D87" s="133"/>
      <c r="E87" s="133"/>
      <c r="F87" s="133"/>
      <c r="G87" s="133"/>
      <c r="H87" s="109"/>
      <c r="I87" s="134"/>
      <c r="J87" s="306" t="s">
        <v>21</v>
      </c>
      <c r="K87" s="306"/>
      <c r="L87" s="306"/>
      <c r="M87" s="111"/>
    </row>
    <row r="88" spans="1:15" ht="92.45" customHeight="1">
      <c r="A88" s="112" t="s">
        <v>29</v>
      </c>
      <c r="B88" s="112" t="s">
        <v>23</v>
      </c>
      <c r="C88" s="113" t="s">
        <v>4</v>
      </c>
      <c r="D88" s="114" t="s">
        <v>94</v>
      </c>
      <c r="E88" s="114" t="s">
        <v>95</v>
      </c>
      <c r="F88" s="114" t="s">
        <v>96</v>
      </c>
      <c r="G88" s="114" t="s">
        <v>97</v>
      </c>
      <c r="H88" s="114" t="s">
        <v>98</v>
      </c>
      <c r="I88" s="115" t="s">
        <v>107</v>
      </c>
      <c r="J88" s="117" t="s">
        <v>102</v>
      </c>
      <c r="K88" s="117" t="s">
        <v>36</v>
      </c>
      <c r="L88" s="114" t="s">
        <v>108</v>
      </c>
      <c r="M88" s="78"/>
      <c r="N88" s="78"/>
      <c r="O88" s="78"/>
    </row>
    <row r="89" spans="1:15" ht="15">
      <c r="A89" s="135"/>
      <c r="B89" s="136"/>
      <c r="C89" s="137" t="str">
        <f>"Col "&amp;COLUMN(C89)+36</f>
        <v>Col 39</v>
      </c>
      <c r="D89" s="137" t="str">
        <f t="shared" si="51" ref="D89:L89">"Col "&amp;COLUMN(D89)+36</f>
        <v>Col 40</v>
      </c>
      <c r="E89" s="137" t="str">
        <f>"Col "&amp;COLUMN(E89)+36</f>
        <v>Col 41</v>
      </c>
      <c r="F89" s="137" t="str">
        <f>"Col "&amp;COLUMN(F89)+36</f>
        <v>Col 42</v>
      </c>
      <c r="G89" s="137" t="str">
        <f>"Col "&amp;COLUMN(G89)+36</f>
        <v>Col 43</v>
      </c>
      <c r="H89" s="137" t="str">
        <f>"Col "&amp;COLUMN(H89)+36</f>
        <v>Col 44</v>
      </c>
      <c r="I89" s="137" t="str">
        <f>"Col "&amp;COLUMN(I89)+36</f>
        <v>Col 45</v>
      </c>
      <c r="J89" s="137" t="str">
        <f>"Col "&amp;COLUMN(J89)+36</f>
        <v>Col 46</v>
      </c>
      <c r="K89" s="137" t="str">
        <f>"Col "&amp;COLUMN(K89)+36</f>
        <v>Col 47</v>
      </c>
      <c r="L89" s="137" t="str">
        <f>"Col "&amp;COLUMN(L89)+36</f>
        <v>Col 48</v>
      </c>
      <c r="M89" s="78"/>
      <c r="N89" s="78"/>
      <c r="O89" s="78"/>
    </row>
    <row r="90" spans="1:15" ht="120">
      <c r="A90" s="112" t="s">
        <v>6</v>
      </c>
      <c r="B90" s="112" t="s">
        <v>6</v>
      </c>
      <c r="C90" s="138" t="s">
        <v>6</v>
      </c>
      <c r="D90" s="114" t="s">
        <v>6</v>
      </c>
      <c r="E90" s="114" t="str">
        <f>D89&amp;" X Category Relationship Unfreeze Factor X Net Contributor or Net Recipient Factor"</f>
        <v>Col 40 X Category Relationship Unfreeze Factor X Net Contributor or Net Recipient Factor</v>
      </c>
      <c r="F90" s="114" t="s">
        <v>6</v>
      </c>
      <c r="G90" s="114" t="str">
        <f>"("&amp;F89&amp;" / "&amp;E89&amp;") - 1"</f>
        <v>(Col 42 / Col 41) - 1</v>
      </c>
      <c r="H90" s="114" t="str">
        <f>"("&amp;F89&amp;" / "&amp;D89&amp;") - 1"</f>
        <v>(Col 42 / Col 40) - 1</v>
      </c>
      <c r="I90" s="114" t="s">
        <v>6</v>
      </c>
      <c r="J90" s="139" t="str">
        <f>E89&amp;" X "&amp;I89</f>
        <v>Col 41 X Col 45</v>
      </c>
      <c r="K90" s="139" t="str">
        <f>F89&amp;" X "&amp;I89</f>
        <v>Col 42 X Col 45</v>
      </c>
      <c r="L90" s="140" t="str">
        <f>K89&amp;" - "&amp;J89</f>
        <v>Col 47 - Col 46</v>
      </c>
      <c r="M90" s="75"/>
      <c r="N90" s="75"/>
      <c r="O90" s="75"/>
    </row>
    <row r="91" spans="1:15" ht="15">
      <c r="A91" s="122"/>
      <c r="B91" s="21" t="s">
        <v>48</v>
      </c>
      <c r="C91" s="21" t="s">
        <v>42</v>
      </c>
      <c r="D91" s="141"/>
      <c r="E91" s="141"/>
      <c r="F91" s="141"/>
      <c r="G91" s="141"/>
      <c r="H91" s="141"/>
      <c r="I91" s="142"/>
      <c r="J91" s="143"/>
      <c r="K91" s="143"/>
      <c r="L91" s="143"/>
      <c r="M91" s="77"/>
      <c r="N91" s="77"/>
      <c r="O91" s="77"/>
    </row>
    <row r="92" spans="1:12" s="101" customFormat="1" ht="15">
      <c r="A92" s="122" t="s">
        <v>62</v>
      </c>
      <c r="B92" s="123" t="s">
        <v>63</v>
      </c>
      <c r="C92" s="126" t="s">
        <v>42</v>
      </c>
      <c r="D92" s="127">
        <v>300</v>
      </c>
      <c r="E92" s="127">
        <f>ROUND($D92*$B$9*$B$10,2)</f>
        <v>340.91</v>
      </c>
      <c r="F92" s="127">
        <v>340.91</v>
      </c>
      <c r="G92" s="144">
        <f>IFERROR(($F92/$E92)-1,0)</f>
        <v>0</v>
      </c>
      <c r="H92" s="144">
        <f>IFERROR((F92/D92)-1,0)</f>
        <v>0.13636666666666675</v>
      </c>
      <c r="I92" s="145">
        <v>100</v>
      </c>
      <c r="J92" s="146">
        <f>IFERROR($E92*$I92,0)</f>
        <v>34091</v>
      </c>
      <c r="K92" s="146">
        <f>IFERROR($F92*$I92,0)</f>
        <v>34091</v>
      </c>
      <c r="L92" s="146">
        <f>IFERROR(K92-J92,0)</f>
        <v>0</v>
      </c>
    </row>
    <row r="93" spans="1:12" s="101" customFormat="1" ht="15">
      <c r="A93" s="122"/>
      <c r="B93" s="123"/>
      <c r="C93" s="126"/>
      <c r="D93" s="147"/>
      <c r="E93" s="127">
        <f t="shared" si="52" ref="E93:E96">ROUND($D93*$B$9*$B$10,2)</f>
        <v>0</v>
      </c>
      <c r="F93" s="147"/>
      <c r="G93" s="144">
        <f t="shared" si="53" ref="G93:G96">IFERROR(($F93/$E93)-1,0)</f>
        <v>0</v>
      </c>
      <c r="H93" s="144">
        <f t="shared" si="54" ref="H93:H96">IFERROR((F93/D93)-1,0)</f>
        <v>0</v>
      </c>
      <c r="I93" s="145"/>
      <c r="J93" s="146">
        <f t="shared" si="55" ref="J93:J96">IFERROR($E93*$I93,0)</f>
        <v>0</v>
      </c>
      <c r="K93" s="146">
        <f t="shared" si="56" ref="K93:K96">IFERROR($F93*$I93,0)</f>
        <v>0</v>
      </c>
      <c r="L93" s="146">
        <f t="shared" si="57" ref="L93:L96">IFERROR(K93-J93,0)</f>
        <v>0</v>
      </c>
    </row>
    <row r="94" spans="1:12" s="101" customFormat="1" ht="15">
      <c r="A94" s="122"/>
      <c r="B94" s="123"/>
      <c r="C94" s="126"/>
      <c r="D94" s="148"/>
      <c r="E94" s="127">
        <f>ROUND($D94*$B$9*$B$10,2)</f>
        <v>0</v>
      </c>
      <c r="F94" s="148"/>
      <c r="G94" s="144">
        <f>IFERROR(($F94/$E94)-1,0)</f>
        <v>0</v>
      </c>
      <c r="H94" s="144">
        <f>IFERROR((F94/D94)-1,0)</f>
        <v>0</v>
      </c>
      <c r="I94" s="145"/>
      <c r="J94" s="146">
        <f>IFERROR($E94*$I94,0)</f>
        <v>0</v>
      </c>
      <c r="K94" s="146">
        <f>IFERROR($F94*$I94,0)</f>
        <v>0</v>
      </c>
      <c r="L94" s="146">
        <f>IFERROR(K94-J94,0)</f>
        <v>0</v>
      </c>
    </row>
    <row r="95" spans="1:12" s="101" customFormat="1" ht="15">
      <c r="A95" s="122"/>
      <c r="B95" s="123"/>
      <c r="C95" s="126"/>
      <c r="D95" s="147"/>
      <c r="E95" s="127">
        <f>ROUND($D95*$B$9*$B$10,2)</f>
        <v>0</v>
      </c>
      <c r="F95" s="147"/>
      <c r="G95" s="144">
        <f>IFERROR(($F95/$E95)-1,0)</f>
        <v>0</v>
      </c>
      <c r="H95" s="144">
        <f>IFERROR((F95/D95)-1,0)</f>
        <v>0</v>
      </c>
      <c r="I95" s="145"/>
      <c r="J95" s="146">
        <f>IFERROR($E95*$I95,0)</f>
        <v>0</v>
      </c>
      <c r="K95" s="146">
        <f>IFERROR($F95*$I95,0)</f>
        <v>0</v>
      </c>
      <c r="L95" s="146">
        <f>IFERROR(K95-J95,0)</f>
        <v>0</v>
      </c>
    </row>
    <row r="96" spans="1:15" ht="15">
      <c r="A96" s="122"/>
      <c r="B96" s="123"/>
      <c r="C96" s="126"/>
      <c r="D96" s="147"/>
      <c r="E96" s="127">
        <f>ROUND($D96*$B$9*$B$10,2)</f>
        <v>0</v>
      </c>
      <c r="F96" s="147"/>
      <c r="G96" s="144">
        <f>IFERROR(($F96/$E96)-1,0)</f>
        <v>0</v>
      </c>
      <c r="H96" s="144">
        <f>IFERROR((F96/D96)-1,0)</f>
        <v>0</v>
      </c>
      <c r="I96" s="149"/>
      <c r="J96" s="146">
        <f>IFERROR($E96*$I96,0)</f>
        <v>0</v>
      </c>
      <c r="K96" s="146">
        <f>IFERROR($F96*$I96,0)</f>
        <v>0</v>
      </c>
      <c r="L96" s="146">
        <f>IFERROR(K96-J96,0)</f>
        <v>0</v>
      </c>
      <c r="M96" s="131"/>
      <c r="N96" s="131"/>
      <c r="O96" s="131"/>
    </row>
    <row r="97" spans="1:13" ht="15">
      <c r="A97" s="122"/>
      <c r="B97" s="21" t="s">
        <v>47</v>
      </c>
      <c r="C97" s="21" t="s">
        <v>43</v>
      </c>
      <c r="D97" s="147"/>
      <c r="E97" s="147"/>
      <c r="F97" s="147"/>
      <c r="G97" s="147"/>
      <c r="H97" s="147"/>
      <c r="I97" s="149"/>
      <c r="J97" s="149"/>
      <c r="K97" s="150"/>
      <c r="L97" s="151"/>
      <c r="M97" s="40"/>
    </row>
    <row r="98" spans="1:13" ht="15">
      <c r="A98" s="122" t="s">
        <v>62</v>
      </c>
      <c r="B98" s="123" t="s">
        <v>64</v>
      </c>
      <c r="C98" s="126" t="s">
        <v>43</v>
      </c>
      <c r="D98" s="127">
        <v>325</v>
      </c>
      <c r="E98" s="127">
        <f>ROUND($D98*$B$9*$B$10,2)</f>
        <v>369.32</v>
      </c>
      <c r="F98" s="127">
        <v>369.32</v>
      </c>
      <c r="G98" s="144">
        <f>IFERROR(($F98/$E98)-1,0)</f>
        <v>0</v>
      </c>
      <c r="H98" s="144">
        <f>IFERROR((F98/D98)-1,0)</f>
        <v>0.1363692307692308</v>
      </c>
      <c r="I98" s="145">
        <v>90</v>
      </c>
      <c r="J98" s="146">
        <f>IFERROR($E98*$I98,0)</f>
        <v>33238.8</v>
      </c>
      <c r="K98" s="146">
        <f>IFERROR($F98*$I98,0)</f>
        <v>33238.8</v>
      </c>
      <c r="L98" s="146">
        <f>IFERROR(K98-J98,0)</f>
        <v>0</v>
      </c>
      <c r="M98" s="40"/>
    </row>
    <row r="99" spans="1:13" ht="15">
      <c r="A99" s="122"/>
      <c r="B99" s="123"/>
      <c r="C99" s="126"/>
      <c r="D99" s="147"/>
      <c r="E99" s="127">
        <f t="shared" si="58" ref="E99:E102">ROUND($D99*$B$9*$B$10,2)</f>
        <v>0</v>
      </c>
      <c r="F99" s="147"/>
      <c r="G99" s="144">
        <f>IFERROR(($F99/$E99)-1,0)</f>
        <v>0</v>
      </c>
      <c r="H99" s="144">
        <f t="shared" si="59" ref="H99:H102">IFERROR((F99/D99)-1,0)</f>
        <v>0</v>
      </c>
      <c r="I99" s="145"/>
      <c r="J99" s="146">
        <f>IFERROR($E99*$I99,0)</f>
        <v>0</v>
      </c>
      <c r="K99" s="146">
        <f>IFERROR($F99*$I99,0)</f>
        <v>0</v>
      </c>
      <c r="L99" s="146">
        <f t="shared" si="60" ref="L99:L102">IFERROR(K99-J99,0)</f>
        <v>0</v>
      </c>
      <c r="M99" s="40"/>
    </row>
    <row r="100" spans="1:13" ht="15">
      <c r="A100" s="122"/>
      <c r="B100" s="123"/>
      <c r="C100" s="126"/>
      <c r="D100" s="148"/>
      <c r="E100" s="127">
        <f>ROUND($D100*$B$9*$B$10,2)</f>
        <v>0</v>
      </c>
      <c r="F100" s="148"/>
      <c r="G100" s="144">
        <f>IFERROR(($F100/$E100)-1,0)</f>
        <v>0</v>
      </c>
      <c r="H100" s="144">
        <f>IFERROR((F100/D100)-1,0)</f>
        <v>0</v>
      </c>
      <c r="I100" s="145"/>
      <c r="J100" s="146">
        <f>IFERROR($E100*$I100,0)</f>
        <v>0</v>
      </c>
      <c r="K100" s="146">
        <f>IFERROR($F100*$I100,0)</f>
        <v>0</v>
      </c>
      <c r="L100" s="146">
        <f>IFERROR(K100-J100,0)</f>
        <v>0</v>
      </c>
      <c r="M100" s="40"/>
    </row>
    <row r="101" spans="1:12" ht="15">
      <c r="A101" s="122"/>
      <c r="B101" s="123"/>
      <c r="C101" s="126"/>
      <c r="D101" s="147"/>
      <c r="E101" s="127">
        <f>ROUND($D101*$B$9*$B$10,2)</f>
        <v>0</v>
      </c>
      <c r="F101" s="147"/>
      <c r="G101" s="144">
        <f>IFERROR(($F101/$E101)-1,0)</f>
        <v>0</v>
      </c>
      <c r="H101" s="144">
        <f>IFERROR((F101/D101)-1,0)</f>
        <v>0</v>
      </c>
      <c r="I101" s="145"/>
      <c r="J101" s="146">
        <f>IFERROR($E101*$I101,0)</f>
        <v>0</v>
      </c>
      <c r="K101" s="146">
        <f>IFERROR($F101*$I101,0)</f>
        <v>0</v>
      </c>
      <c r="L101" s="146">
        <f>IFERROR(K101-J101,0)</f>
        <v>0</v>
      </c>
    </row>
    <row r="102" spans="1:12" ht="15">
      <c r="A102" s="122"/>
      <c r="B102" s="123"/>
      <c r="C102" s="126"/>
      <c r="D102" s="147"/>
      <c r="E102" s="127">
        <f>ROUND($D102*$B$9*$B$10,2)</f>
        <v>0</v>
      </c>
      <c r="F102" s="147"/>
      <c r="G102" s="144">
        <f>IFERROR(($F102/$E102)-1,0)</f>
        <v>0</v>
      </c>
      <c r="H102" s="144">
        <f>IFERROR((F102/D102)-1,0)</f>
        <v>0</v>
      </c>
      <c r="I102" s="149"/>
      <c r="J102" s="146">
        <f>IFERROR($E102*$I102,0)</f>
        <v>0</v>
      </c>
      <c r="K102" s="146">
        <f>IFERROR($F102*$I102,0)</f>
        <v>0</v>
      </c>
      <c r="L102" s="146">
        <f>IFERROR(K102-J102,0)</f>
        <v>0</v>
      </c>
    </row>
    <row r="103" spans="1:12" ht="15">
      <c r="A103" s="122"/>
      <c r="B103" s="21" t="s">
        <v>46</v>
      </c>
      <c r="C103" s="21" t="s">
        <v>44</v>
      </c>
      <c r="D103" s="147"/>
      <c r="E103" s="147"/>
      <c r="F103" s="147"/>
      <c r="G103" s="147"/>
      <c r="H103" s="147"/>
      <c r="I103" s="149"/>
      <c r="J103" s="149"/>
      <c r="K103" s="150"/>
      <c r="L103" s="151"/>
    </row>
    <row r="104" spans="1:12" ht="15">
      <c r="A104" s="122" t="s">
        <v>62</v>
      </c>
      <c r="B104" s="123" t="s">
        <v>65</v>
      </c>
      <c r="C104" s="126" t="s">
        <v>44</v>
      </c>
      <c r="D104" s="127">
        <v>350</v>
      </c>
      <c r="E104" s="127">
        <f>ROUND($D104*$B$9*$B$10,2)</f>
        <v>397.73</v>
      </c>
      <c r="F104" s="127">
        <v>397.73</v>
      </c>
      <c r="G104" s="144">
        <f>IFERROR(($F104/$E104)-1,0)</f>
        <v>0</v>
      </c>
      <c r="H104" s="144">
        <f>IFERROR((F104/D104)-1,0)</f>
        <v>0.1363714285714286</v>
      </c>
      <c r="I104" s="145">
        <v>80</v>
      </c>
      <c r="J104" s="146">
        <f>IFERROR($E104*$I104,0)</f>
        <v>31818.40</v>
      </c>
      <c r="K104" s="146">
        <f>IFERROR($F104*$I104,0)</f>
        <v>31818.40</v>
      </c>
      <c r="L104" s="146">
        <f>IFERROR(K104-J104,0)</f>
        <v>0</v>
      </c>
    </row>
    <row r="105" spans="1:12" ht="15">
      <c r="A105" s="122"/>
      <c r="B105" s="123"/>
      <c r="C105" s="126"/>
      <c r="D105" s="147"/>
      <c r="E105" s="127">
        <f t="shared" si="61" ref="E105:E108">ROUND($D105*$B$9*$B$10,2)</f>
        <v>0</v>
      </c>
      <c r="F105" s="147"/>
      <c r="G105" s="144">
        <f>IFERROR(($F105/$E105)-1,0)</f>
        <v>0</v>
      </c>
      <c r="H105" s="144">
        <f t="shared" si="62" ref="H105:H108">IFERROR((F105/D105)-1,0)</f>
        <v>0</v>
      </c>
      <c r="I105" s="145"/>
      <c r="J105" s="146">
        <f>IFERROR($E105*$I105,0)</f>
        <v>0</v>
      </c>
      <c r="K105" s="146">
        <f>IFERROR($F105*$I105,0)</f>
        <v>0</v>
      </c>
      <c r="L105" s="146">
        <f t="shared" si="63" ref="L105:L108">IFERROR(K105-J105,0)</f>
        <v>0</v>
      </c>
    </row>
    <row r="106" spans="1:12" ht="15">
      <c r="A106" s="122"/>
      <c r="B106" s="123"/>
      <c r="C106" s="126"/>
      <c r="D106" s="148"/>
      <c r="E106" s="127">
        <f>ROUND($D106*$B$9*$B$10,2)</f>
        <v>0</v>
      </c>
      <c r="F106" s="148"/>
      <c r="G106" s="144">
        <f>IFERROR(($F106/$E106)-1,0)</f>
        <v>0</v>
      </c>
      <c r="H106" s="144">
        <f>IFERROR((F106/D106)-1,0)</f>
        <v>0</v>
      </c>
      <c r="I106" s="145"/>
      <c r="J106" s="146">
        <f>IFERROR($E106*$I106,0)</f>
        <v>0</v>
      </c>
      <c r="K106" s="146">
        <f>IFERROR($F106*$I106,0)</f>
        <v>0</v>
      </c>
      <c r="L106" s="146">
        <f>IFERROR(K106-J106,0)</f>
        <v>0</v>
      </c>
    </row>
    <row r="107" spans="1:12" ht="15">
      <c r="A107" s="122"/>
      <c r="B107" s="123"/>
      <c r="C107" s="126"/>
      <c r="D107" s="147"/>
      <c r="E107" s="127">
        <f>ROUND($D107*$B$9*$B$10,2)</f>
        <v>0</v>
      </c>
      <c r="F107" s="147"/>
      <c r="G107" s="144">
        <f>IFERROR(($F107/$E107)-1,0)</f>
        <v>0</v>
      </c>
      <c r="H107" s="144">
        <f>IFERROR((F107/D107)-1,0)</f>
        <v>0</v>
      </c>
      <c r="I107" s="145"/>
      <c r="J107" s="146">
        <f>IFERROR($E107*$I107,0)</f>
        <v>0</v>
      </c>
      <c r="K107" s="146">
        <f>IFERROR($F107*$I107,0)</f>
        <v>0</v>
      </c>
      <c r="L107" s="146">
        <f>IFERROR(K107-J107,0)</f>
        <v>0</v>
      </c>
    </row>
    <row r="108" spans="1:12" ht="15">
      <c r="A108" s="122"/>
      <c r="B108" s="123"/>
      <c r="C108" s="126"/>
      <c r="D108" s="147"/>
      <c r="E108" s="127">
        <f>ROUND($D108*$B$9*$B$10,2)</f>
        <v>0</v>
      </c>
      <c r="F108" s="147"/>
      <c r="G108" s="144">
        <f>IFERROR(($F108/$E108)-1,0)</f>
        <v>0</v>
      </c>
      <c r="H108" s="144">
        <f>IFERROR((F108/D108)-1,0)</f>
        <v>0</v>
      </c>
      <c r="I108" s="149"/>
      <c r="J108" s="146">
        <f>IFERROR($E108*$I108,0)</f>
        <v>0</v>
      </c>
      <c r="K108" s="146">
        <f>IFERROR($F108*$I108,0)</f>
        <v>0</v>
      </c>
      <c r="L108" s="146">
        <f>IFERROR(K108-J108,0)</f>
        <v>0</v>
      </c>
    </row>
    <row r="109" spans="1:12" ht="15">
      <c r="A109" s="122"/>
      <c r="B109" s="21" t="s">
        <v>45</v>
      </c>
      <c r="C109" s="21" t="s">
        <v>61</v>
      </c>
      <c r="D109" s="147"/>
      <c r="E109" s="147"/>
      <c r="F109" s="147"/>
      <c r="G109" s="147"/>
      <c r="H109" s="147"/>
      <c r="I109" s="149"/>
      <c r="J109" s="149"/>
      <c r="K109" s="150"/>
      <c r="L109" s="151"/>
    </row>
    <row r="110" spans="1:12" ht="15">
      <c r="A110" s="122" t="s">
        <v>62</v>
      </c>
      <c r="B110" s="123" t="s">
        <v>66</v>
      </c>
      <c r="C110" s="126" t="s">
        <v>61</v>
      </c>
      <c r="D110" s="127">
        <v>375</v>
      </c>
      <c r="E110" s="127">
        <f>ROUND($D110*$B$9*$B$10,2)</f>
        <v>426.14</v>
      </c>
      <c r="F110" s="127">
        <v>426.14</v>
      </c>
      <c r="G110" s="144">
        <f>IFERROR(($F110/$E110)-1,0)</f>
        <v>0</v>
      </c>
      <c r="H110" s="144">
        <f>IFERROR((F110/D110)-1,0)</f>
        <v>0.13637333333333324</v>
      </c>
      <c r="I110" s="145">
        <v>1</v>
      </c>
      <c r="J110" s="146">
        <f>IFERROR($E110*$I110,0)</f>
        <v>426.14</v>
      </c>
      <c r="K110" s="146">
        <f>IFERROR($F110*$I110,0)</f>
        <v>426.14</v>
      </c>
      <c r="L110" s="146">
        <f>IFERROR(K110-J110,0)</f>
        <v>0</v>
      </c>
    </row>
    <row r="111" spans="1:12" ht="15">
      <c r="A111" s="122"/>
      <c r="B111" s="123"/>
      <c r="C111" s="126"/>
      <c r="D111" s="147"/>
      <c r="E111" s="127">
        <f t="shared" si="64" ref="E111:E114">ROUND($D111*$B$9*$B$10,2)</f>
        <v>0</v>
      </c>
      <c r="F111" s="147"/>
      <c r="G111" s="144">
        <f>IFERROR(($F111/$E111)-1,0)</f>
        <v>0</v>
      </c>
      <c r="H111" s="144">
        <f t="shared" si="65" ref="H111:H114">IFERROR((F111/D111)-1,0)</f>
        <v>0</v>
      </c>
      <c r="I111" s="145"/>
      <c r="J111" s="146">
        <f>IFERROR($E111*$I111,0)</f>
        <v>0</v>
      </c>
      <c r="K111" s="146">
        <f>IFERROR($F111*$I111,0)</f>
        <v>0</v>
      </c>
      <c r="L111" s="146">
        <f t="shared" si="66" ref="L111:L114">IFERROR(K111-J111,0)</f>
        <v>0</v>
      </c>
    </row>
    <row r="112" spans="1:12" ht="15">
      <c r="A112" s="122"/>
      <c r="B112" s="123"/>
      <c r="C112" s="126"/>
      <c r="D112" s="148"/>
      <c r="E112" s="127">
        <f>ROUND($D112*$B$9*$B$10,2)</f>
        <v>0</v>
      </c>
      <c r="F112" s="148"/>
      <c r="G112" s="144">
        <f>IFERROR(($F112/$E112)-1,0)</f>
        <v>0</v>
      </c>
      <c r="H112" s="144">
        <f>IFERROR((F112/D112)-1,0)</f>
        <v>0</v>
      </c>
      <c r="I112" s="145"/>
      <c r="J112" s="146">
        <f>IFERROR($E112*$I112,0)</f>
        <v>0</v>
      </c>
      <c r="K112" s="146">
        <f>IFERROR($F112*$I112,0)</f>
        <v>0</v>
      </c>
      <c r="L112" s="146">
        <f>IFERROR(K112-J112,0)</f>
        <v>0</v>
      </c>
    </row>
    <row r="113" spans="1:12" ht="15">
      <c r="A113" s="122"/>
      <c r="B113" s="123"/>
      <c r="C113" s="126"/>
      <c r="D113" s="147"/>
      <c r="E113" s="127">
        <f>ROUND($D113*$B$9*$B$10,2)</f>
        <v>0</v>
      </c>
      <c r="F113" s="147"/>
      <c r="G113" s="144">
        <f>IFERROR(($F113/$E113)-1,0)</f>
        <v>0</v>
      </c>
      <c r="H113" s="144">
        <f>IFERROR((F113/D113)-1,0)</f>
        <v>0</v>
      </c>
      <c r="I113" s="145"/>
      <c r="J113" s="146">
        <f>IFERROR($E113*$I113,0)</f>
        <v>0</v>
      </c>
      <c r="K113" s="146">
        <f>IFERROR($F113*$I113,0)</f>
        <v>0</v>
      </c>
      <c r="L113" s="146">
        <f>IFERROR(K113-J113,0)</f>
        <v>0</v>
      </c>
    </row>
    <row r="114" spans="1:12" ht="15">
      <c r="A114" s="122"/>
      <c r="B114" s="123"/>
      <c r="C114" s="126"/>
      <c r="D114" s="147"/>
      <c r="E114" s="127">
        <f>ROUND($D114*$B$9*$B$10,2)</f>
        <v>0</v>
      </c>
      <c r="F114" s="147"/>
      <c r="G114" s="144">
        <f>IFERROR(($F114/$E114)-1,0)</f>
        <v>0</v>
      </c>
      <c r="H114" s="144">
        <f>IFERROR((F114/D114)-1,0)</f>
        <v>0</v>
      </c>
      <c r="I114" s="149"/>
      <c r="J114" s="146">
        <f>IFERROR($E114*$I114,0)</f>
        <v>0</v>
      </c>
      <c r="K114" s="146">
        <f>IFERROR($F114*$I114,0)</f>
        <v>0</v>
      </c>
      <c r="L114" s="146">
        <f>IFERROR(K114-J114,0)</f>
        <v>0</v>
      </c>
    </row>
    <row r="115" spans="1:12" ht="15">
      <c r="A115" s="122"/>
      <c r="B115" s="21" t="s">
        <v>50</v>
      </c>
      <c r="C115" s="21" t="s">
        <v>51</v>
      </c>
      <c r="D115" s="147"/>
      <c r="E115" s="147"/>
      <c r="F115" s="147"/>
      <c r="G115" s="147"/>
      <c r="H115" s="147"/>
      <c r="I115" s="149"/>
      <c r="J115" s="149"/>
      <c r="K115" s="150"/>
      <c r="L115" s="151"/>
    </row>
    <row r="116" spans="1:12" ht="30">
      <c r="A116" s="122" t="s">
        <v>62</v>
      </c>
      <c r="B116" s="123" t="s">
        <v>67</v>
      </c>
      <c r="C116" s="126" t="s">
        <v>51</v>
      </c>
      <c r="D116" s="127">
        <v>400</v>
      </c>
      <c r="E116" s="127">
        <f>ROUND($D116*$B$9*$B$10,2)</f>
        <v>454.55</v>
      </c>
      <c r="F116" s="127">
        <v>454.55</v>
      </c>
      <c r="G116" s="144">
        <f>IFERROR(($F116/$E116)-1,0)</f>
        <v>0</v>
      </c>
      <c r="H116" s="144">
        <f>IFERROR((F116/D116)-1,0)</f>
        <v>0.13637500000000014</v>
      </c>
      <c r="I116" s="145">
        <v>70</v>
      </c>
      <c r="J116" s="146">
        <f>IFERROR($E116*$I116,0)</f>
        <v>31818.50</v>
      </c>
      <c r="K116" s="146">
        <f>IFERROR($F116*$I116,0)</f>
        <v>31818.50</v>
      </c>
      <c r="L116" s="146">
        <f>IFERROR(K116-J116,0)</f>
        <v>0</v>
      </c>
    </row>
    <row r="117" spans="1:12" ht="15">
      <c r="A117" s="122"/>
      <c r="B117" s="123"/>
      <c r="C117" s="126"/>
      <c r="D117" s="147"/>
      <c r="E117" s="127">
        <f t="shared" si="67" ref="E117:E120">ROUND($D117*$B$9*$B$10,2)</f>
        <v>0</v>
      </c>
      <c r="F117" s="147"/>
      <c r="G117" s="144">
        <f>IFERROR(($F117/$E117)-1,0)</f>
        <v>0</v>
      </c>
      <c r="H117" s="144">
        <f t="shared" si="68" ref="H117:H120">IFERROR((F117/D117)-1,0)</f>
        <v>0</v>
      </c>
      <c r="I117" s="145"/>
      <c r="J117" s="146">
        <f>IFERROR($E117*$I117,0)</f>
        <v>0</v>
      </c>
      <c r="K117" s="146">
        <f>IFERROR($F117*$I117,0)</f>
        <v>0</v>
      </c>
      <c r="L117" s="146">
        <f t="shared" si="69" ref="L117:L120">IFERROR(K117-J117,0)</f>
        <v>0</v>
      </c>
    </row>
    <row r="118" spans="1:12" ht="15">
      <c r="A118" s="122"/>
      <c r="B118" s="123"/>
      <c r="C118" s="126"/>
      <c r="D118" s="148"/>
      <c r="E118" s="127">
        <f>ROUND($D118*$B$9*$B$10,2)</f>
        <v>0</v>
      </c>
      <c r="F118" s="148"/>
      <c r="G118" s="144">
        <f>IFERROR(($F118/$E118)-1,0)</f>
        <v>0</v>
      </c>
      <c r="H118" s="144">
        <f>IFERROR((F118/D118)-1,0)</f>
        <v>0</v>
      </c>
      <c r="I118" s="145"/>
      <c r="J118" s="146">
        <f>IFERROR($E118*$I118,0)</f>
        <v>0</v>
      </c>
      <c r="K118" s="146">
        <f>IFERROR($F118*$I118,0)</f>
        <v>0</v>
      </c>
      <c r="L118" s="146">
        <f>IFERROR(K118-J118,0)</f>
        <v>0</v>
      </c>
    </row>
    <row r="119" spans="1:12" ht="15">
      <c r="A119" s="122"/>
      <c r="B119" s="123"/>
      <c r="C119" s="126"/>
      <c r="D119" s="147"/>
      <c r="E119" s="127">
        <f>ROUND($D119*$B$9*$B$10,2)</f>
        <v>0</v>
      </c>
      <c r="F119" s="147"/>
      <c r="G119" s="144">
        <f>IFERROR(($F119/$E119)-1,0)</f>
        <v>0</v>
      </c>
      <c r="H119" s="144">
        <f>IFERROR((F119/D119)-1,0)</f>
        <v>0</v>
      </c>
      <c r="I119" s="145"/>
      <c r="J119" s="146">
        <f>IFERROR($E119*$I119,0)</f>
        <v>0</v>
      </c>
      <c r="K119" s="146">
        <f>IFERROR($F119*$I119,0)</f>
        <v>0</v>
      </c>
      <c r="L119" s="146">
        <f>IFERROR(K119-J119,0)</f>
        <v>0</v>
      </c>
    </row>
    <row r="120" spans="1:12" ht="15">
      <c r="A120" s="122"/>
      <c r="B120" s="123"/>
      <c r="C120" s="126"/>
      <c r="D120" s="147"/>
      <c r="E120" s="127">
        <f>ROUND($D120*$B$9*$B$10,2)</f>
        <v>0</v>
      </c>
      <c r="F120" s="147"/>
      <c r="G120" s="144">
        <f>IFERROR(($F120/$E120)-1,0)</f>
        <v>0</v>
      </c>
      <c r="H120" s="144">
        <f>IFERROR((F120/D120)-1,0)</f>
        <v>0</v>
      </c>
      <c r="I120" s="149"/>
      <c r="J120" s="146">
        <f>IFERROR($E120*$I120,0)</f>
        <v>0</v>
      </c>
      <c r="K120" s="146">
        <f>IFERROR($F120*$I120,0)</f>
        <v>0</v>
      </c>
      <c r="L120" s="146">
        <f>IFERROR(K120-J120,0)</f>
        <v>0</v>
      </c>
    </row>
    <row r="121" spans="1:12" ht="15">
      <c r="A121" s="122"/>
      <c r="B121" s="21" t="s">
        <v>52</v>
      </c>
      <c r="C121" s="21" t="s">
        <v>53</v>
      </c>
      <c r="D121" s="147"/>
      <c r="E121" s="147"/>
      <c r="F121" s="147"/>
      <c r="G121" s="147"/>
      <c r="H121" s="147"/>
      <c r="I121" s="149"/>
      <c r="J121" s="149"/>
      <c r="K121" s="150"/>
      <c r="L121" s="151"/>
    </row>
    <row r="122" spans="1:12" ht="15">
      <c r="A122" s="122" t="s">
        <v>62</v>
      </c>
      <c r="B122" s="123" t="s">
        <v>68</v>
      </c>
      <c r="C122" s="126" t="s">
        <v>53</v>
      </c>
      <c r="D122" s="127">
        <v>425</v>
      </c>
      <c r="E122" s="127">
        <f>ROUND($D122*$B$9*$B$10,2)</f>
        <v>482.95</v>
      </c>
      <c r="F122" s="127">
        <v>482.95</v>
      </c>
      <c r="G122" s="144">
        <f>IFERROR(($F122/$E122)-1,0)</f>
        <v>0</v>
      </c>
      <c r="H122" s="144">
        <f>IFERROR((F122/D122)-1,0)</f>
        <v>0.13635294117647057</v>
      </c>
      <c r="I122" s="145">
        <v>60</v>
      </c>
      <c r="J122" s="146">
        <f>IFERROR($E122*$I122,0)</f>
        <v>28977</v>
      </c>
      <c r="K122" s="146">
        <f>IFERROR($F122*$I122,0)</f>
        <v>28977</v>
      </c>
      <c r="L122" s="146">
        <f>IFERROR(K122-J122,0)</f>
        <v>0</v>
      </c>
    </row>
    <row r="123" spans="1:12" ht="15">
      <c r="A123" s="122"/>
      <c r="B123" s="123"/>
      <c r="C123" s="126"/>
      <c r="D123" s="147"/>
      <c r="E123" s="127">
        <f t="shared" si="70" ref="E123:E126">ROUND($D123*$B$9*$B$10,2)</f>
        <v>0</v>
      </c>
      <c r="F123" s="147"/>
      <c r="G123" s="144">
        <f>IFERROR(($F123/$E123)-1,0)</f>
        <v>0</v>
      </c>
      <c r="H123" s="144">
        <f t="shared" si="71" ref="H123:H126">IFERROR((F123/D123)-1,0)</f>
        <v>0</v>
      </c>
      <c r="I123" s="145"/>
      <c r="J123" s="146">
        <f>IFERROR($E123*$I123,0)</f>
        <v>0</v>
      </c>
      <c r="K123" s="146">
        <f>IFERROR($F123*$I123,0)</f>
        <v>0</v>
      </c>
      <c r="L123" s="146">
        <f t="shared" si="72" ref="L123:L126">IFERROR(K123-J123,0)</f>
        <v>0</v>
      </c>
    </row>
    <row r="124" spans="1:12" ht="15">
      <c r="A124" s="122"/>
      <c r="B124" s="123"/>
      <c r="C124" s="126"/>
      <c r="D124" s="148"/>
      <c r="E124" s="127">
        <f>ROUND($D124*$B$9*$B$10,2)</f>
        <v>0</v>
      </c>
      <c r="F124" s="148"/>
      <c r="G124" s="144">
        <f>IFERROR(($F124/$E124)-1,0)</f>
        <v>0</v>
      </c>
      <c r="H124" s="144">
        <f>IFERROR((F124/D124)-1,0)</f>
        <v>0</v>
      </c>
      <c r="I124" s="145"/>
      <c r="J124" s="146">
        <f>IFERROR($E124*$I124,0)</f>
        <v>0</v>
      </c>
      <c r="K124" s="146">
        <f>IFERROR($F124*$I124,0)</f>
        <v>0</v>
      </c>
      <c r="L124" s="146">
        <f>IFERROR(K124-J124,0)</f>
        <v>0</v>
      </c>
    </row>
    <row r="125" spans="1:12" ht="15">
      <c r="A125" s="122"/>
      <c r="B125" s="123"/>
      <c r="C125" s="126"/>
      <c r="D125" s="147"/>
      <c r="E125" s="127">
        <f>ROUND($D125*$B$9*$B$10,2)</f>
        <v>0</v>
      </c>
      <c r="F125" s="147"/>
      <c r="G125" s="144">
        <f>IFERROR(($F125/$E125)-1,0)</f>
        <v>0</v>
      </c>
      <c r="H125" s="144">
        <f>IFERROR((F125/D125)-1,0)</f>
        <v>0</v>
      </c>
      <c r="I125" s="145"/>
      <c r="J125" s="146">
        <f>IFERROR($E125*$I125,0)</f>
        <v>0</v>
      </c>
      <c r="K125" s="146">
        <f>IFERROR($F125*$I125,0)</f>
        <v>0</v>
      </c>
      <c r="L125" s="146">
        <f>IFERROR(K125-J125,0)</f>
        <v>0</v>
      </c>
    </row>
    <row r="126" spans="1:12" ht="15">
      <c r="A126" s="122"/>
      <c r="B126" s="123"/>
      <c r="C126" s="126"/>
      <c r="D126" s="147"/>
      <c r="E126" s="127">
        <f>ROUND($D126*$B$9*$B$10,2)</f>
        <v>0</v>
      </c>
      <c r="F126" s="147"/>
      <c r="G126" s="144">
        <f>IFERROR(($F126/$E126)-1,0)</f>
        <v>0</v>
      </c>
      <c r="H126" s="144">
        <f>IFERROR((F126/D126)-1,0)</f>
        <v>0</v>
      </c>
      <c r="I126" s="149"/>
      <c r="J126" s="146">
        <f>IFERROR($E126*$I126,0)</f>
        <v>0</v>
      </c>
      <c r="K126" s="146">
        <f>IFERROR($F126*$I126,0)</f>
        <v>0</v>
      </c>
      <c r="L126" s="146">
        <f>IFERROR(K126-J126,0)</f>
        <v>0</v>
      </c>
    </row>
    <row r="127" spans="1:12" ht="15">
      <c r="A127" s="122"/>
      <c r="B127" s="21" t="s">
        <v>54</v>
      </c>
      <c r="C127" s="21" t="s">
        <v>55</v>
      </c>
      <c r="D127" s="147"/>
      <c r="E127" s="147"/>
      <c r="F127" s="147"/>
      <c r="G127" s="147"/>
      <c r="H127" s="147"/>
      <c r="I127" s="149"/>
      <c r="J127" s="149"/>
      <c r="K127" s="150"/>
      <c r="L127" s="151"/>
    </row>
    <row r="128" spans="1:12" ht="15">
      <c r="A128" s="122" t="s">
        <v>62</v>
      </c>
      <c r="B128" s="123" t="s">
        <v>69</v>
      </c>
      <c r="C128" s="126" t="s">
        <v>55</v>
      </c>
      <c r="D128" s="127">
        <v>450</v>
      </c>
      <c r="E128" s="127">
        <f>ROUND($D128*$B$9*$B$10,2)</f>
        <v>511.36</v>
      </c>
      <c r="F128" s="127">
        <v>511.36</v>
      </c>
      <c r="G128" s="144">
        <f>IFERROR(($F128/$E128)-1,0)</f>
        <v>0</v>
      </c>
      <c r="H128" s="144">
        <f>IFERROR((F128/D128)-1,0)</f>
        <v>0.13635555555555556</v>
      </c>
      <c r="I128" s="145">
        <v>50</v>
      </c>
      <c r="J128" s="146">
        <f>IFERROR($E128*$I128,0)</f>
        <v>25568</v>
      </c>
      <c r="K128" s="146">
        <f>IFERROR($F128*$I128,0)</f>
        <v>25568</v>
      </c>
      <c r="L128" s="146">
        <f>IFERROR(K128-J128,0)</f>
        <v>0</v>
      </c>
    </row>
    <row r="129" spans="1:12" ht="15">
      <c r="A129" s="122"/>
      <c r="B129" s="123"/>
      <c r="C129" s="126"/>
      <c r="D129" s="147"/>
      <c r="E129" s="127">
        <f t="shared" si="73" ref="E129:E132">ROUND($D129*$B$9*$B$10,2)</f>
        <v>0</v>
      </c>
      <c r="F129" s="147"/>
      <c r="G129" s="144">
        <f>IFERROR(($F129/$E129)-1,0)</f>
        <v>0</v>
      </c>
      <c r="H129" s="144">
        <f t="shared" si="74" ref="H129:H132">IFERROR((F129/D129)-1,0)</f>
        <v>0</v>
      </c>
      <c r="I129" s="145"/>
      <c r="J129" s="146">
        <f>IFERROR($E129*$I129,0)</f>
        <v>0</v>
      </c>
      <c r="K129" s="146">
        <f>IFERROR($F129*$I129,0)</f>
        <v>0</v>
      </c>
      <c r="L129" s="146">
        <f t="shared" si="75" ref="L129:L132">IFERROR(K129-J129,0)</f>
        <v>0</v>
      </c>
    </row>
    <row r="130" spans="1:12" ht="15">
      <c r="A130" s="122"/>
      <c r="B130" s="123"/>
      <c r="C130" s="126"/>
      <c r="D130" s="148"/>
      <c r="E130" s="127">
        <f>ROUND($D130*$B$9*$B$10,2)</f>
        <v>0</v>
      </c>
      <c r="F130" s="148"/>
      <c r="G130" s="144">
        <f>IFERROR(($F130/$E130)-1,0)</f>
        <v>0</v>
      </c>
      <c r="H130" s="144">
        <f>IFERROR((F130/D130)-1,0)</f>
        <v>0</v>
      </c>
      <c r="I130" s="145"/>
      <c r="J130" s="146">
        <f>IFERROR($E130*$I130,0)</f>
        <v>0</v>
      </c>
      <c r="K130" s="146">
        <f>IFERROR($F130*$I130,0)</f>
        <v>0</v>
      </c>
      <c r="L130" s="146">
        <f>IFERROR(K130-J130,0)</f>
        <v>0</v>
      </c>
    </row>
    <row r="131" spans="1:12" ht="15">
      <c r="A131" s="122"/>
      <c r="B131" s="123"/>
      <c r="C131" s="126"/>
      <c r="D131" s="147"/>
      <c r="E131" s="127">
        <f>ROUND($D131*$B$9*$B$10,2)</f>
        <v>0</v>
      </c>
      <c r="F131" s="147"/>
      <c r="G131" s="144">
        <f>IFERROR(($F131/$E131)-1,0)</f>
        <v>0</v>
      </c>
      <c r="H131" s="144">
        <f>IFERROR((F131/D131)-1,0)</f>
        <v>0</v>
      </c>
      <c r="I131" s="145"/>
      <c r="J131" s="146">
        <f>IFERROR($E131*$I131,0)</f>
        <v>0</v>
      </c>
      <c r="K131" s="146">
        <f>IFERROR($F131*$I131,0)</f>
        <v>0</v>
      </c>
      <c r="L131" s="146">
        <f>IFERROR(K131-J131,0)</f>
        <v>0</v>
      </c>
    </row>
    <row r="132" spans="1:12" ht="15">
      <c r="A132" s="122"/>
      <c r="B132" s="123"/>
      <c r="C132" s="126"/>
      <c r="D132" s="147"/>
      <c r="E132" s="127">
        <f>ROUND($D132*$B$9*$B$10,2)</f>
        <v>0</v>
      </c>
      <c r="F132" s="147"/>
      <c r="G132" s="144">
        <f>IFERROR(($F132/$E132)-1,0)</f>
        <v>0</v>
      </c>
      <c r="H132" s="144">
        <f>IFERROR((F132/D132)-1,0)</f>
        <v>0</v>
      </c>
      <c r="I132" s="149"/>
      <c r="J132" s="146">
        <f>IFERROR($E132*$I132,0)</f>
        <v>0</v>
      </c>
      <c r="K132" s="146">
        <f>IFERROR($F132*$I132,0)</f>
        <v>0</v>
      </c>
      <c r="L132" s="146">
        <f>IFERROR(K132-J132,0)</f>
        <v>0</v>
      </c>
    </row>
    <row r="133" spans="1:12" ht="15">
      <c r="A133" s="122"/>
      <c r="B133" s="21" t="s">
        <v>57</v>
      </c>
      <c r="C133" s="21" t="s">
        <v>58</v>
      </c>
      <c r="D133" s="147"/>
      <c r="E133" s="147"/>
      <c r="F133" s="147"/>
      <c r="G133" s="147"/>
      <c r="H133" s="147"/>
      <c r="I133" s="149"/>
      <c r="J133" s="149"/>
      <c r="K133" s="150"/>
      <c r="L133" s="151"/>
    </row>
    <row r="134" spans="1:12" ht="15">
      <c r="A134" s="122" t="s">
        <v>62</v>
      </c>
      <c r="B134" s="123" t="s">
        <v>70</v>
      </c>
      <c r="C134" s="126" t="s">
        <v>58</v>
      </c>
      <c r="D134" s="127">
        <v>475</v>
      </c>
      <c r="E134" s="127">
        <f>ROUND($D134*$B$9*$B$10,2)</f>
        <v>539.77</v>
      </c>
      <c r="F134" s="127">
        <v>539.77</v>
      </c>
      <c r="G134" s="144">
        <f>IFERROR(($F134/$E134)-1,0)</f>
        <v>0</v>
      </c>
      <c r="H134" s="144">
        <f>IFERROR((F134/D134)-1,0)</f>
        <v>0.136357894736842</v>
      </c>
      <c r="I134" s="145">
        <v>40</v>
      </c>
      <c r="J134" s="146">
        <f>IFERROR($E134*$I134,0)</f>
        <v>21590.80</v>
      </c>
      <c r="K134" s="146">
        <f>IFERROR($F134*$I134,0)</f>
        <v>21590.80</v>
      </c>
      <c r="L134" s="146">
        <f>IFERROR(K134-J134,0)</f>
        <v>0</v>
      </c>
    </row>
    <row r="135" spans="1:12" ht="15">
      <c r="A135" s="122"/>
      <c r="B135" s="123"/>
      <c r="C135" s="126"/>
      <c r="D135" s="147"/>
      <c r="E135" s="127">
        <f t="shared" si="76" ref="E135:E138">ROUND($D135*$B$9*$B$10,2)</f>
        <v>0</v>
      </c>
      <c r="F135" s="147"/>
      <c r="G135" s="144">
        <f>IFERROR(($F135/$E135)-1,0)</f>
        <v>0</v>
      </c>
      <c r="H135" s="144">
        <f t="shared" si="77" ref="H135:H138">IFERROR((F135/D135)-1,0)</f>
        <v>0</v>
      </c>
      <c r="I135" s="145"/>
      <c r="J135" s="146">
        <f>IFERROR($E135*$I135,0)</f>
        <v>0</v>
      </c>
      <c r="K135" s="146">
        <f>IFERROR($F135*$I135,0)</f>
        <v>0</v>
      </c>
      <c r="L135" s="146">
        <f t="shared" si="78" ref="L135:L138">IFERROR(K135-J135,0)</f>
        <v>0</v>
      </c>
    </row>
    <row r="136" spans="1:12" ht="15">
      <c r="A136" s="122"/>
      <c r="B136" s="123"/>
      <c r="C136" s="126"/>
      <c r="D136" s="148"/>
      <c r="E136" s="127">
        <f>ROUND($D136*$B$9*$B$10,2)</f>
        <v>0</v>
      </c>
      <c r="F136" s="148"/>
      <c r="G136" s="144">
        <f>IFERROR(($F136/$E136)-1,0)</f>
        <v>0</v>
      </c>
      <c r="H136" s="144">
        <f>IFERROR((F136/D136)-1,0)</f>
        <v>0</v>
      </c>
      <c r="I136" s="145"/>
      <c r="J136" s="146">
        <f>IFERROR($E136*$I136,0)</f>
        <v>0</v>
      </c>
      <c r="K136" s="146">
        <f>IFERROR($F136*$I136,0)</f>
        <v>0</v>
      </c>
      <c r="L136" s="146">
        <f>IFERROR(K136-J136,0)</f>
        <v>0</v>
      </c>
    </row>
    <row r="137" spans="1:12" ht="15">
      <c r="A137" s="122"/>
      <c r="B137" s="123"/>
      <c r="C137" s="126"/>
      <c r="D137" s="147"/>
      <c r="E137" s="127">
        <f>ROUND($D137*$B$9*$B$10,2)</f>
        <v>0</v>
      </c>
      <c r="F137" s="147"/>
      <c r="G137" s="144">
        <f>IFERROR(($F137/$E137)-1,0)</f>
        <v>0</v>
      </c>
      <c r="H137" s="144">
        <f>IFERROR((F137/D137)-1,0)</f>
        <v>0</v>
      </c>
      <c r="I137" s="145"/>
      <c r="J137" s="146">
        <f>IFERROR($E137*$I137,0)</f>
        <v>0</v>
      </c>
      <c r="K137" s="146">
        <f>IFERROR($F137*$I137,0)</f>
        <v>0</v>
      </c>
      <c r="L137" s="146">
        <f>IFERROR(K137-J137,0)</f>
        <v>0</v>
      </c>
    </row>
    <row r="138" spans="1:12" ht="15">
      <c r="A138" s="122"/>
      <c r="B138" s="123"/>
      <c r="C138" s="126"/>
      <c r="D138" s="147"/>
      <c r="E138" s="127">
        <f>ROUND($D138*$B$9*$B$10,2)</f>
        <v>0</v>
      </c>
      <c r="F138" s="147"/>
      <c r="G138" s="144">
        <f>IFERROR(($F138/$E138)-1,0)</f>
        <v>0</v>
      </c>
      <c r="H138" s="144">
        <f>IFERROR((F138/D138)-1,0)</f>
        <v>0</v>
      </c>
      <c r="I138" s="149"/>
      <c r="J138" s="146">
        <f>IFERROR($E138*$I138,0)</f>
        <v>0</v>
      </c>
      <c r="K138" s="146">
        <f>IFERROR($F138*$I138,0)</f>
        <v>0</v>
      </c>
      <c r="L138" s="146">
        <f>IFERROR(K138-J138,0)</f>
        <v>0</v>
      </c>
    </row>
    <row r="139" spans="1:12" ht="30">
      <c r="A139" s="122"/>
      <c r="B139" s="21" t="s">
        <v>59</v>
      </c>
      <c r="C139" s="21" t="s">
        <v>60</v>
      </c>
      <c r="D139" s="147"/>
      <c r="E139" s="147"/>
      <c r="F139" s="147"/>
      <c r="G139" s="147"/>
      <c r="H139" s="147"/>
      <c r="I139" s="149"/>
      <c r="J139" s="149"/>
      <c r="K139" s="150"/>
      <c r="L139" s="151"/>
    </row>
    <row r="140" spans="1:12" ht="15">
      <c r="A140" s="122" t="s">
        <v>62</v>
      </c>
      <c r="B140" s="123" t="s">
        <v>71</v>
      </c>
      <c r="C140" s="126" t="s">
        <v>60</v>
      </c>
      <c r="D140" s="127">
        <v>500</v>
      </c>
      <c r="E140" s="127">
        <f>ROUND($D140*$B$9*$B$10,2)</f>
        <v>568.18</v>
      </c>
      <c r="F140" s="127">
        <v>568.18</v>
      </c>
      <c r="G140" s="144">
        <f>IFERROR(($F140/$E140)-1,0)</f>
        <v>0</v>
      </c>
      <c r="H140" s="144">
        <f>IFERROR((F140/D140)-1,0)</f>
        <v>0.13635999999999981</v>
      </c>
      <c r="I140" s="145">
        <v>30</v>
      </c>
      <c r="J140" s="146">
        <f>IFERROR($E140*$I140,0)</f>
        <v>17045.399999999998</v>
      </c>
      <c r="K140" s="146">
        <f>IFERROR($F140*$I140,0)</f>
        <v>17045.399999999998</v>
      </c>
      <c r="L140" s="146">
        <f>IFERROR(K140-J140,0)</f>
        <v>0</v>
      </c>
    </row>
    <row r="141" spans="1:12" ht="15">
      <c r="A141" s="122"/>
      <c r="B141" s="123"/>
      <c r="C141" s="126"/>
      <c r="D141" s="147"/>
      <c r="E141" s="127">
        <f t="shared" si="79" ref="E141:E144">ROUND($D141*$B$9*$B$10,2)</f>
        <v>0</v>
      </c>
      <c r="F141" s="147"/>
      <c r="G141" s="144">
        <f>IFERROR(($F141/$E141)-1,0)</f>
        <v>0</v>
      </c>
      <c r="H141" s="144">
        <f t="shared" si="80" ref="H141:H144">IFERROR((F141/D141)-1,0)</f>
        <v>0</v>
      </c>
      <c r="I141" s="145"/>
      <c r="J141" s="146">
        <f>IFERROR($E141*$I141,0)</f>
        <v>0</v>
      </c>
      <c r="K141" s="146">
        <f>IFERROR($F141*$I141,0)</f>
        <v>0</v>
      </c>
      <c r="L141" s="146">
        <f t="shared" si="81" ref="L141:L144">IFERROR(K141-J141,0)</f>
        <v>0</v>
      </c>
    </row>
    <row r="142" spans="1:12" ht="15">
      <c r="A142" s="122"/>
      <c r="B142" s="123"/>
      <c r="C142" s="126"/>
      <c r="D142" s="148"/>
      <c r="E142" s="127">
        <f>ROUND($D142*$B$9*$B$10,2)</f>
        <v>0</v>
      </c>
      <c r="F142" s="148"/>
      <c r="G142" s="144">
        <f>IFERROR(($F142/$E142)-1,0)</f>
        <v>0</v>
      </c>
      <c r="H142" s="144">
        <f>IFERROR((F142/D142)-1,0)</f>
        <v>0</v>
      </c>
      <c r="I142" s="145"/>
      <c r="J142" s="146">
        <f>IFERROR($E142*$I142,0)</f>
        <v>0</v>
      </c>
      <c r="K142" s="146">
        <f>IFERROR($F142*$I142,0)</f>
        <v>0</v>
      </c>
      <c r="L142" s="146">
        <f>IFERROR(K142-J142,0)</f>
        <v>0</v>
      </c>
    </row>
    <row r="143" spans="1:12" ht="15">
      <c r="A143" s="122"/>
      <c r="B143" s="123"/>
      <c r="C143" s="126"/>
      <c r="D143" s="147"/>
      <c r="E143" s="127">
        <f>ROUND($D143*$B$9*$B$10,2)</f>
        <v>0</v>
      </c>
      <c r="F143" s="147"/>
      <c r="G143" s="144">
        <f>IFERROR(($F143/$E143)-1,0)</f>
        <v>0</v>
      </c>
      <c r="H143" s="144">
        <f>IFERROR((F143/D143)-1,0)</f>
        <v>0</v>
      </c>
      <c r="I143" s="145"/>
      <c r="J143" s="146">
        <f>IFERROR($E143*$I143,0)</f>
        <v>0</v>
      </c>
      <c r="K143" s="146">
        <f>IFERROR($F143*$I143,0)</f>
        <v>0</v>
      </c>
      <c r="L143" s="146">
        <f>IFERROR(K143-J143,0)</f>
        <v>0</v>
      </c>
    </row>
    <row r="144" spans="1:12" ht="15">
      <c r="A144" s="122"/>
      <c r="B144" s="123"/>
      <c r="C144" s="126"/>
      <c r="D144" s="147"/>
      <c r="E144" s="127">
        <f>ROUND($D144*$B$9*$B$10,2)</f>
        <v>0</v>
      </c>
      <c r="F144" s="147"/>
      <c r="G144" s="144">
        <f>IFERROR(($F144/$E144)-1,0)</f>
        <v>0</v>
      </c>
      <c r="H144" s="144">
        <f>IFERROR((F144/D144)-1,0)</f>
        <v>0</v>
      </c>
      <c r="I144" s="149"/>
      <c r="J144" s="146">
        <f>IFERROR($E144*$I144,0)</f>
        <v>0</v>
      </c>
      <c r="K144" s="146">
        <f>IFERROR($F144*$I144,0)</f>
        <v>0</v>
      </c>
      <c r="L144" s="146">
        <f>IFERROR(K144-J144,0)</f>
        <v>0</v>
      </c>
    </row>
    <row r="145" spans="1:12" ht="30">
      <c r="A145" s="122"/>
      <c r="B145" s="21" t="s">
        <v>78</v>
      </c>
      <c r="C145" s="21" t="s">
        <v>80</v>
      </c>
      <c r="D145" s="147"/>
      <c r="E145" s="147"/>
      <c r="F145" s="147"/>
      <c r="G145" s="147"/>
      <c r="H145" s="147"/>
      <c r="I145" s="149"/>
      <c r="J145" s="149"/>
      <c r="K145" s="150"/>
      <c r="L145" s="151"/>
    </row>
    <row r="146" spans="1:12" ht="15">
      <c r="A146" s="122" t="s">
        <v>62</v>
      </c>
      <c r="B146" s="123" t="s">
        <v>79</v>
      </c>
      <c r="C146" s="126" t="s">
        <v>80</v>
      </c>
      <c r="D146" s="127">
        <v>90</v>
      </c>
      <c r="E146" s="127">
        <f>ROUND($D146*$B$9*$B$10,2)</f>
        <v>102.27</v>
      </c>
      <c r="F146" s="127">
        <v>102.27</v>
      </c>
      <c r="G146" s="144">
        <f>IFERROR(($F146/$E146)-1,0)</f>
        <v>0</v>
      </c>
      <c r="H146" s="144">
        <f>IFERROR((F146/D146)-1,0)</f>
        <v>0.1363333333333332</v>
      </c>
      <c r="I146" s="145">
        <v>5</v>
      </c>
      <c r="J146" s="146">
        <f>IFERROR($E146*$I146,0)</f>
        <v>511.35</v>
      </c>
      <c r="K146" s="146">
        <f>IFERROR($F146*$I146,0)</f>
        <v>511.35</v>
      </c>
      <c r="L146" s="146">
        <f>IFERROR(K146-J146,0)</f>
        <v>0</v>
      </c>
    </row>
    <row r="147" spans="1:12" ht="15">
      <c r="A147" s="122"/>
      <c r="B147" s="123"/>
      <c r="C147" s="126"/>
      <c r="D147" s="147"/>
      <c r="E147" s="127">
        <f t="shared" si="82" ref="E147:E150">ROUND($D147*$B$9*$B$10,2)</f>
        <v>0</v>
      </c>
      <c r="F147" s="147"/>
      <c r="G147" s="144">
        <f>IFERROR(($F147/$E147)-1,0)</f>
        <v>0</v>
      </c>
      <c r="H147" s="144">
        <f t="shared" si="83" ref="H147:H150">IFERROR((F147/D147)-1,0)</f>
        <v>0</v>
      </c>
      <c r="I147" s="145"/>
      <c r="J147" s="146">
        <f>IFERROR($E147*$I147,0)</f>
        <v>0</v>
      </c>
      <c r="K147" s="146">
        <f>IFERROR($F147*$I147,0)</f>
        <v>0</v>
      </c>
      <c r="L147" s="146">
        <f t="shared" si="84" ref="L147:L150">IFERROR(K147-J147,0)</f>
        <v>0</v>
      </c>
    </row>
    <row r="148" spans="1:12" ht="15">
      <c r="A148" s="122"/>
      <c r="B148" s="123"/>
      <c r="C148" s="126"/>
      <c r="D148" s="148"/>
      <c r="E148" s="127">
        <f>ROUND($D148*$B$9*$B$10,2)</f>
        <v>0</v>
      </c>
      <c r="F148" s="148"/>
      <c r="G148" s="144">
        <f>IFERROR(($F148/$E148)-1,0)</f>
        <v>0</v>
      </c>
      <c r="H148" s="144">
        <f>IFERROR((F148/D148)-1,0)</f>
        <v>0</v>
      </c>
      <c r="I148" s="145"/>
      <c r="J148" s="146">
        <f>IFERROR($E148*$I148,0)</f>
        <v>0</v>
      </c>
      <c r="K148" s="146">
        <f>IFERROR($F148*$I148,0)</f>
        <v>0</v>
      </c>
      <c r="L148" s="146">
        <f>IFERROR(K148-J148,0)</f>
        <v>0</v>
      </c>
    </row>
    <row r="149" spans="1:12" ht="15">
      <c r="A149" s="122"/>
      <c r="B149" s="123"/>
      <c r="C149" s="126"/>
      <c r="D149" s="147"/>
      <c r="E149" s="127">
        <f>ROUND($D149*$B$9*$B$10,2)</f>
        <v>0</v>
      </c>
      <c r="F149" s="147"/>
      <c r="G149" s="144">
        <f>IFERROR(($F149/$E149)-1,0)</f>
        <v>0</v>
      </c>
      <c r="H149" s="144">
        <f>IFERROR((F149/D149)-1,0)</f>
        <v>0</v>
      </c>
      <c r="I149" s="145"/>
      <c r="J149" s="146">
        <f>IFERROR($E149*$I149,0)</f>
        <v>0</v>
      </c>
      <c r="K149" s="146">
        <f>IFERROR($F149*$I149,0)</f>
        <v>0</v>
      </c>
      <c r="L149" s="146">
        <f>IFERROR(K149-J149,0)</f>
        <v>0</v>
      </c>
    </row>
    <row r="150" spans="1:12" ht="15">
      <c r="A150" s="122"/>
      <c r="B150" s="123"/>
      <c r="C150" s="126"/>
      <c r="D150" s="147"/>
      <c r="E150" s="127">
        <f>ROUND($D150*$B$9*$B$10,2)</f>
        <v>0</v>
      </c>
      <c r="F150" s="147"/>
      <c r="G150" s="144">
        <f>IFERROR(($F150/$E150)-1,0)</f>
        <v>0</v>
      </c>
      <c r="H150" s="144">
        <f>IFERROR((F150/D150)-1,0)</f>
        <v>0</v>
      </c>
      <c r="I150" s="149"/>
      <c r="J150" s="146">
        <f>IFERROR($E150*$I150,0)</f>
        <v>0</v>
      </c>
      <c r="K150" s="146">
        <f>IFERROR($F150*$I150,0)</f>
        <v>0</v>
      </c>
      <c r="L150" s="146">
        <f>IFERROR(K150-J150,0)</f>
        <v>0</v>
      </c>
    </row>
  </sheetData>
  <mergeCells count="4">
    <mergeCell ref="J87:L87"/>
    <mergeCell ref="A84:L85"/>
    <mergeCell ref="L17:N17"/>
    <mergeCell ref="A14:N15"/>
  </mergeCells>
  <conditionalFormatting sqref="D12">
    <cfRule type="expression" priority="1" dxfId="1">
      <formula>$D12="Fail"</formula>
    </cfRule>
    <cfRule type="expression" priority="2" dxfId="0">
      <formula>$D12="Pass"</formula>
    </cfRule>
  </conditionalFormatting>
  <pageMargins left="0.25" right="0.25" top="0.75" bottom="0.75" header="0.3" footer="0.3"/>
  <pageSetup fitToHeight="0" orientation="landscape" paperSize="5" scale="59" r:id="rId1"/>
  <headerFooter>
    <oddFooter>&amp;L&amp;Z&amp;F\&amp;A&amp;R&amp;D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01A86-8C74-4234-BCBA-CD15B0831279}">
  <sheetPr codeName="Sheet12">
    <pageSetUpPr fitToPage="1"/>
  </sheetPr>
  <dimension ref="A1:P150"/>
  <sheetViews>
    <sheetView zoomScale="80" zoomScaleNormal="80" workbookViewId="0" topLeftCell="A1"/>
  </sheetViews>
  <sheetFormatPr defaultColWidth="9.145" defaultRowHeight="15"/>
  <cols>
    <col min="1" max="1" width="59" style="132" bestFit="1" customWidth="1"/>
    <col min="2" max="2" width="39.25" style="37" customWidth="1"/>
    <col min="3" max="3" width="15.75" style="108" customWidth="1"/>
    <col min="4" max="8" width="15.75" style="35" customWidth="1"/>
    <col min="9" max="11" width="15.75" style="39" customWidth="1"/>
    <col min="12" max="12" width="15.75" style="40" customWidth="1"/>
    <col min="13" max="15" width="18.25" style="41" customWidth="1"/>
    <col min="16" max="16" width="15.75" style="41" customWidth="1"/>
    <col min="17" max="16384" width="9.125" style="41"/>
  </cols>
  <sheetData>
    <row r="1" spans="1:8" ht="15">
      <c r="A1" s="36" t="str">
        <f ca="1">MID(CELL("filename",A1),FIND("]",CELL("filename",A1))+1,255)</f>
        <v>Study Area 2 TRP</v>
      </c>
      <c r="C1" s="41"/>
      <c r="D1" s="41"/>
      <c r="F1" s="38"/>
      <c r="G1" s="41"/>
      <c r="H1" s="41"/>
    </row>
    <row r="2" spans="1:8" ht="15">
      <c r="A2" s="29" t="s">
        <v>19</v>
      </c>
      <c r="C2" s="41"/>
      <c r="D2" s="41"/>
      <c r="F2" s="79"/>
      <c r="G2" s="41"/>
      <c r="H2" s="41"/>
    </row>
    <row r="3" spans="1:8" ht="15">
      <c r="A3" s="29" t="s">
        <v>25</v>
      </c>
      <c r="C3" s="41"/>
      <c r="D3" s="41"/>
      <c r="F3" s="43"/>
      <c r="G3" s="41"/>
      <c r="H3" s="41"/>
    </row>
    <row r="4" spans="1:8" ht="15">
      <c r="A4" s="29" t="s">
        <v>20</v>
      </c>
      <c r="C4" s="41"/>
      <c r="D4" s="41"/>
      <c r="F4" s="43"/>
      <c r="G4" s="41"/>
      <c r="H4" s="41"/>
    </row>
    <row r="5" spans="1:12" ht="15">
      <c r="A5" s="44" t="s">
        <v>14</v>
      </c>
      <c r="C5" s="41"/>
      <c r="D5" s="41"/>
      <c r="F5" s="43"/>
      <c r="G5" s="41"/>
      <c r="H5" s="41"/>
      <c r="I5" s="41"/>
      <c r="J5" s="41"/>
      <c r="K5" s="41"/>
      <c r="L5" s="41"/>
    </row>
    <row r="6" spans="1:12" ht="15">
      <c r="A6" s="44"/>
      <c r="C6" s="41"/>
      <c r="D6" s="41"/>
      <c r="F6" s="43"/>
      <c r="G6" s="28"/>
      <c r="H6" s="58"/>
      <c r="I6" s="41"/>
      <c r="J6" s="41"/>
      <c r="K6" s="41"/>
      <c r="L6" s="41"/>
    </row>
    <row r="7" spans="1:12" ht="15">
      <c r="A7" s="62" t="s">
        <v>15</v>
      </c>
      <c r="B7" s="180">
        <f>'Exogenous Costs'!C21</f>
        <v>900002</v>
      </c>
      <c r="C7" s="41"/>
      <c r="D7" s="41"/>
      <c r="F7" s="43"/>
      <c r="G7" s="28"/>
      <c r="H7" s="58"/>
      <c r="I7" s="41"/>
      <c r="J7" s="41"/>
      <c r="K7" s="41"/>
      <c r="L7" s="41"/>
    </row>
    <row r="8" spans="1:12" ht="15">
      <c r="A8" s="62" t="s">
        <v>16</v>
      </c>
      <c r="B8" s="63" t="str">
        <f>'Exogenous Costs'!D21</f>
        <v>Study Area 2</v>
      </c>
      <c r="C8" s="41"/>
      <c r="D8" s="41"/>
      <c r="F8" s="43"/>
      <c r="G8" s="28"/>
      <c r="H8" s="58"/>
      <c r="I8" s="41"/>
      <c r="J8" s="41"/>
      <c r="K8" s="41"/>
      <c r="L8" s="41"/>
    </row>
    <row r="9" spans="1:12" ht="15">
      <c r="A9" s="62" t="s">
        <v>17</v>
      </c>
      <c r="B9" s="64">
        <f>'Factor Dev'!G17</f>
        <v>1</v>
      </c>
      <c r="C9" s="41"/>
      <c r="D9" s="41"/>
      <c r="F9" s="43"/>
      <c r="G9" s="28"/>
      <c r="H9" s="58"/>
      <c r="I9" s="41"/>
      <c r="J9" s="41"/>
      <c r="K9" s="41"/>
      <c r="L9" s="41"/>
    </row>
    <row r="10" spans="1:12" ht="15">
      <c r="A10" s="62" t="s">
        <v>18</v>
      </c>
      <c r="B10" s="64">
        <f>'Factor Dev'!K17</f>
        <v>1.20</v>
      </c>
      <c r="C10" s="41"/>
      <c r="D10" s="41"/>
      <c r="F10" s="43"/>
      <c r="G10" s="28"/>
      <c r="H10" s="58"/>
      <c r="I10" s="41"/>
      <c r="J10" s="41"/>
      <c r="K10" s="41"/>
      <c r="L10" s="41"/>
    </row>
    <row r="11" spans="1:15" ht="15">
      <c r="A11" s="23"/>
      <c r="C11" s="29"/>
      <c r="F11" s="43"/>
      <c r="G11" s="11"/>
      <c r="I11" s="98"/>
      <c r="J11" s="98"/>
      <c r="K11" s="98"/>
      <c r="M11" s="11"/>
      <c r="N11" s="11"/>
      <c r="O11" s="11"/>
    </row>
    <row r="12" spans="1:15" ht="15">
      <c r="A12" s="23"/>
      <c r="C12" s="29"/>
      <c r="F12" s="43"/>
      <c r="G12" s="11"/>
      <c r="I12" s="98"/>
      <c r="J12" s="98"/>
      <c r="K12" s="98"/>
      <c r="M12" s="11"/>
      <c r="N12" s="11"/>
      <c r="O12" s="11"/>
    </row>
    <row r="13" spans="1:15" ht="15.75" thickBot="1">
      <c r="A13" s="102"/>
      <c r="B13" s="75"/>
      <c r="C13" s="103"/>
      <c r="D13" s="104"/>
      <c r="E13" s="104"/>
      <c r="F13" s="43"/>
      <c r="G13" s="17"/>
      <c r="H13" s="104"/>
      <c r="I13" s="98"/>
      <c r="J13" s="98"/>
      <c r="K13" s="98"/>
      <c r="M13" s="11"/>
      <c r="N13" s="11"/>
      <c r="O13" s="11"/>
    </row>
    <row r="14" spans="1:16" ht="14.45" customHeight="1">
      <c r="A14" s="307" t="s">
        <v>22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9"/>
      <c r="O14" s="105"/>
      <c r="P14" s="105"/>
    </row>
    <row r="15" spans="1:16" ht="14.45" customHeight="1" thickBot="1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2"/>
      <c r="O15" s="105"/>
      <c r="P15" s="105"/>
    </row>
    <row r="16" spans="1:16" s="100" customFormat="1" ht="14.45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ht="15.75">
      <c r="A17" s="41"/>
      <c r="B17" s="107"/>
      <c r="D17" s="109"/>
      <c r="E17" s="109"/>
      <c r="F17" s="109"/>
      <c r="G17" s="109"/>
      <c r="H17" s="109"/>
      <c r="I17" s="41"/>
      <c r="J17" s="110"/>
      <c r="K17" s="110"/>
      <c r="L17" s="306" t="s">
        <v>117</v>
      </c>
      <c r="M17" s="306"/>
      <c r="N17" s="306"/>
      <c r="O17" s="111"/>
      <c r="P17" s="76"/>
    </row>
    <row r="18" spans="1:14" s="78" customFormat="1" ht="154.15" customHeight="1">
      <c r="A18" s="112" t="s">
        <v>29</v>
      </c>
      <c r="B18" s="112" t="s">
        <v>23</v>
      </c>
      <c r="C18" s="113" t="s">
        <v>4</v>
      </c>
      <c r="D18" s="114" t="s">
        <v>94</v>
      </c>
      <c r="E18" s="114" t="s">
        <v>95</v>
      </c>
      <c r="F18" s="114" t="s">
        <v>96</v>
      </c>
      <c r="G18" s="114" t="s">
        <v>97</v>
      </c>
      <c r="H18" s="114" t="s">
        <v>98</v>
      </c>
      <c r="I18" s="115" t="s">
        <v>99</v>
      </c>
      <c r="J18" s="116" t="s">
        <v>100</v>
      </c>
      <c r="K18" s="116" t="s">
        <v>101</v>
      </c>
      <c r="L18" s="117" t="s">
        <v>102</v>
      </c>
      <c r="M18" s="117" t="s">
        <v>36</v>
      </c>
      <c r="N18" s="114" t="s">
        <v>103</v>
      </c>
    </row>
    <row r="19" spans="1:14" s="75" customFormat="1" ht="15">
      <c r="A19" s="118"/>
      <c r="B19" s="119"/>
      <c r="C19" s="112" t="str">
        <f>"Col "&amp;COLUMN(C20)+24</f>
        <v>Col 27</v>
      </c>
      <c r="D19" s="112" t="str">
        <f t="shared" si="0" ref="D19:N19">"Col "&amp;COLUMN(D20)+24</f>
        <v>Col 28</v>
      </c>
      <c r="E19" s="112" t="str">
        <f>"Col "&amp;COLUMN(E20)+24</f>
        <v>Col 29</v>
      </c>
      <c r="F19" s="112" t="str">
        <f>"Col "&amp;COLUMN(F20)+24</f>
        <v>Col 30</v>
      </c>
      <c r="G19" s="112" t="str">
        <f>"Col "&amp;COLUMN(G20)+24</f>
        <v>Col 31</v>
      </c>
      <c r="H19" s="112" t="str">
        <f>"Col "&amp;COLUMN(H20)+24</f>
        <v>Col 32</v>
      </c>
      <c r="I19" s="112" t="str">
        <f>"Col "&amp;COLUMN(I20)+24</f>
        <v>Col 33</v>
      </c>
      <c r="J19" s="112" t="str">
        <f>"Col "&amp;COLUMN(J20)+24</f>
        <v>Col 34</v>
      </c>
      <c r="K19" s="112" t="str">
        <f>"Col "&amp;COLUMN(K20)+24</f>
        <v>Col 35</v>
      </c>
      <c r="L19" s="112" t="str">
        <f>"Col "&amp;COLUMN(L20)+24</f>
        <v>Col 36</v>
      </c>
      <c r="M19" s="112" t="str">
        <f>"Col "&amp;COLUMN(M20)+24</f>
        <v>Col 37</v>
      </c>
      <c r="N19" s="112" t="str">
        <f>"Col "&amp;COLUMN(N20)+24</f>
        <v>Col 38</v>
      </c>
    </row>
    <row r="20" spans="1:14" s="75" customFormat="1" ht="126.6" customHeight="1">
      <c r="A20" s="112" t="s">
        <v>6</v>
      </c>
      <c r="B20" s="112" t="s">
        <v>6</v>
      </c>
      <c r="C20" s="21" t="s">
        <v>6</v>
      </c>
      <c r="D20" s="112" t="s">
        <v>6</v>
      </c>
      <c r="E20" s="120" t="str">
        <f>D19&amp;" X Category Relationship Unfreeze Factor X Net Contributor or Net Recipient Factor"</f>
        <v>Col 28 X Category Relationship Unfreeze Factor X Net Contributor or Net Recipient Factor</v>
      </c>
      <c r="F20" s="120" t="s">
        <v>6</v>
      </c>
      <c r="G20" s="120" t="str">
        <f>"("&amp;F19&amp;" / "&amp;E19&amp;")"&amp;" - 1"</f>
        <v>(Col 30 / Col 29) - 1</v>
      </c>
      <c r="H20" s="120" t="str">
        <f>"("&amp;F19&amp;" / "&amp;D19&amp;")"&amp;" - 1"</f>
        <v>(Col 30 / Col 28) - 1</v>
      </c>
      <c r="I20" s="121" t="s">
        <v>6</v>
      </c>
      <c r="J20" s="121" t="s">
        <v>6</v>
      </c>
      <c r="K20" s="121" t="s">
        <v>6</v>
      </c>
      <c r="L20" s="120" t="str">
        <f>"(("&amp;E19&amp;" X "&amp;I19&amp;") + ("&amp;E19&amp;" X "&amp;J19&amp;" X Appropriate Discount) + ("&amp;E19&amp;" X "&amp;K19&amp;" X Appropriate Discount))"</f>
        <v>((Col 29 X Col 33) + (Col 29 X Col 34 X Appropriate Discount) + (Col 29 X Col 35 X Appropriate Discount))</v>
      </c>
      <c r="M20" s="120" t="str">
        <f>"(("&amp;F19&amp;" X "&amp;I19&amp;") + ("&amp;F19&amp;" X "&amp;J19&amp;" X Appropriate Discount) + ("&amp;F19&amp;" X "&amp;K19&amp;" X Appropriate Discount))"</f>
        <v>((Col 30 X Col 33) + (Col 30 X Col 34 X Appropriate Discount) + (Col 30 X Col 35 X Appropriate Discount))</v>
      </c>
      <c r="N20" s="120" t="str">
        <f>M19&amp;" - "&amp;L19</f>
        <v>Col 37 - Col 36</v>
      </c>
    </row>
    <row r="21" spans="1:14" s="75" customFormat="1" ht="15">
      <c r="A21" s="122"/>
      <c r="B21" s="21" t="s">
        <v>48</v>
      </c>
      <c r="C21" s="21" t="s">
        <v>42</v>
      </c>
      <c r="D21" s="123"/>
      <c r="E21" s="123"/>
      <c r="F21" s="123"/>
      <c r="G21" s="123"/>
      <c r="H21" s="123"/>
      <c r="I21" s="124"/>
      <c r="J21" s="124"/>
      <c r="K21" s="124"/>
      <c r="L21" s="125"/>
      <c r="M21" s="125"/>
      <c r="N21" s="125"/>
    </row>
    <row r="22" spans="1:14" s="75" customFormat="1" ht="15">
      <c r="A22" s="122" t="s">
        <v>62</v>
      </c>
      <c r="B22" s="123" t="s">
        <v>63</v>
      </c>
      <c r="C22" s="126" t="s">
        <v>42</v>
      </c>
      <c r="D22" s="127">
        <v>5</v>
      </c>
      <c r="E22" s="127">
        <f>ROUND($D22*$B$9*$B$10,2)</f>
        <v>6</v>
      </c>
      <c r="F22" s="127">
        <v>6.40</v>
      </c>
      <c r="G22" s="128">
        <f>IFERROR(($F22/$E22)-1,0)</f>
        <v>0.06666666666666665</v>
      </c>
      <c r="H22" s="128">
        <f>IFERROR(($F22/$D22)-1,0)</f>
        <v>0.28</v>
      </c>
      <c r="I22" s="124">
        <v>100</v>
      </c>
      <c r="J22" s="124">
        <v>10</v>
      </c>
      <c r="K22" s="124">
        <v>5</v>
      </c>
      <c r="L22" s="129">
        <f>IFERROR((($E22*$I22)+($E22*$J22*0.8)+($E22*$K22*0.9)),0)</f>
        <v>675</v>
      </c>
      <c r="M22" s="129">
        <f>IFERROR((($F22*$I22)+($F22*$J22*0.8)+($F22*$K22*0.9)),0)</f>
        <v>720</v>
      </c>
      <c r="N22" s="129">
        <f>IFERROR($M22-$L22,0)</f>
        <v>45</v>
      </c>
    </row>
    <row r="23" spans="1:14" s="75" customFormat="1" ht="15">
      <c r="A23" s="122"/>
      <c r="B23" s="123"/>
      <c r="C23" s="126"/>
      <c r="D23" s="127"/>
      <c r="E23" s="127">
        <f t="shared" si="1" ref="E23:E26">ROUND($D23*$B$9*$B$10,2)</f>
        <v>0</v>
      </c>
      <c r="F23" s="127"/>
      <c r="G23" s="128">
        <f>IFERROR(($F23/$E23)-1,0)</f>
        <v>0</v>
      </c>
      <c r="H23" s="128">
        <f t="shared" si="2" ref="H23:H26">IFERROR(($F23/$D23)-1,0)</f>
        <v>0</v>
      </c>
      <c r="I23" s="124"/>
      <c r="J23" s="124"/>
      <c r="K23" s="124"/>
      <c r="L23" s="129">
        <f t="shared" si="3" ref="L23:L26">IFERROR((($E23*$I23)+($E23*$J23*0.8)+($E23*$K23*0.9)),0)</f>
        <v>0</v>
      </c>
      <c r="M23" s="129">
        <f t="shared" si="4" ref="M23:M26">IFERROR((($F23*$I23)+($F23*$J23*0.8)+($F23*$K23*0.9)),0)</f>
        <v>0</v>
      </c>
      <c r="N23" s="129">
        <f>IFERROR($M23-$L23,0)</f>
        <v>0</v>
      </c>
    </row>
    <row r="24" spans="1:14" s="75" customFormat="1" ht="15">
      <c r="A24" s="122"/>
      <c r="B24" s="123"/>
      <c r="C24" s="126"/>
      <c r="D24" s="127"/>
      <c r="E24" s="127">
        <f>ROUND($D24*$B$9*$B$10,2)</f>
        <v>0</v>
      </c>
      <c r="F24" s="127"/>
      <c r="G24" s="128">
        <f t="shared" si="5" ref="G24:G26">IFERROR(($F24/$E24)-1,0)</f>
        <v>0</v>
      </c>
      <c r="H24" s="128">
        <f>IFERROR(($F24/$D24)-1,0)</f>
        <v>0</v>
      </c>
      <c r="I24" s="124"/>
      <c r="J24" s="124"/>
      <c r="K24" s="124"/>
      <c r="L24" s="129">
        <f>IFERROR((($E24*$I24)+($E24*$J24*0.8)+($E24*$K24*0.9)),0)</f>
        <v>0</v>
      </c>
      <c r="M24" s="129">
        <f>IFERROR((($F24*$I24)+($F24*$J24*0.8)+($F24*$K24*0.9)),0)</f>
        <v>0</v>
      </c>
      <c r="N24" s="129">
        <f>IFERROR($M24-$L24,0)</f>
        <v>0</v>
      </c>
    </row>
    <row r="25" spans="1:14" s="75" customFormat="1" ht="15">
      <c r="A25" s="122"/>
      <c r="B25" s="123"/>
      <c r="C25" s="126"/>
      <c r="D25" s="127"/>
      <c r="E25" s="127">
        <f>ROUND($D25*$B$9*$B$10,2)</f>
        <v>0</v>
      </c>
      <c r="F25" s="127"/>
      <c r="G25" s="128">
        <f>IFERROR(($F25/$E25)-1,0)</f>
        <v>0</v>
      </c>
      <c r="H25" s="128">
        <f>IFERROR(($F25/$D25)-1,0)</f>
        <v>0</v>
      </c>
      <c r="I25" s="124"/>
      <c r="J25" s="124"/>
      <c r="K25" s="124"/>
      <c r="L25" s="129">
        <f>IFERROR((($E25*$I25)+($E25*$J25*0.8)+($E25*$K25*0.9)),0)</f>
        <v>0</v>
      </c>
      <c r="M25" s="129">
        <f>IFERROR((($F25*$I25)+($F25*$J25*0.8)+($F25*$K25*0.9)),0)</f>
        <v>0</v>
      </c>
      <c r="N25" s="129">
        <f>IFERROR($M25-$L25,0)</f>
        <v>0</v>
      </c>
    </row>
    <row r="26" spans="1:14" s="75" customFormat="1" ht="15">
      <c r="A26" s="122"/>
      <c r="B26" s="123"/>
      <c r="C26" s="126"/>
      <c r="D26" s="127"/>
      <c r="E26" s="127">
        <f>ROUND($D26*$B$9*$B$10,2)</f>
        <v>0</v>
      </c>
      <c r="F26" s="127"/>
      <c r="G26" s="128">
        <f>IFERROR(($F26/$E26)-1,0)</f>
        <v>0</v>
      </c>
      <c r="H26" s="128">
        <f>IFERROR(($F26/$D26)-1,0)</f>
        <v>0</v>
      </c>
      <c r="I26" s="124"/>
      <c r="J26" s="124"/>
      <c r="K26" s="124"/>
      <c r="L26" s="129">
        <f>IFERROR((($E26*$I26)+($E26*$J26*0.8)+($E26*$K26*0.9)),0)</f>
        <v>0</v>
      </c>
      <c r="M26" s="129">
        <f>IFERROR((($F26*$I26)+($F26*$J26*0.8)+($F26*$K26*0.9)),0)</f>
        <v>0</v>
      </c>
      <c r="N26" s="129">
        <f>IFERROR($M26-$L26,0)</f>
        <v>0</v>
      </c>
    </row>
    <row r="27" spans="1:14" s="75" customFormat="1" ht="15">
      <c r="A27" s="122"/>
      <c r="B27" s="21" t="s">
        <v>47</v>
      </c>
      <c r="C27" s="21" t="s">
        <v>43</v>
      </c>
      <c r="D27" s="127"/>
      <c r="E27" s="127"/>
      <c r="F27" s="127"/>
      <c r="G27" s="128"/>
      <c r="H27" s="128"/>
      <c r="I27" s="124"/>
      <c r="J27" s="124"/>
      <c r="K27" s="124"/>
      <c r="L27" s="125"/>
      <c r="M27" s="125"/>
      <c r="N27" s="125"/>
    </row>
    <row r="28" spans="1:14" s="75" customFormat="1" ht="15">
      <c r="A28" s="122" t="s">
        <v>62</v>
      </c>
      <c r="B28" s="123" t="s">
        <v>64</v>
      </c>
      <c r="C28" s="126" t="s">
        <v>43</v>
      </c>
      <c r="D28" s="127">
        <v>10</v>
      </c>
      <c r="E28" s="127">
        <f>ROUND($D28*$B$9*$B$10,2)</f>
        <v>12</v>
      </c>
      <c r="F28" s="127">
        <v>12.80</v>
      </c>
      <c r="G28" s="128">
        <f>IFERROR(($F28/$E28)-1,0)</f>
        <v>0.06666666666666665</v>
      </c>
      <c r="H28" s="128">
        <f>IFERROR(($F28/$D28)-1,0)</f>
        <v>0.28</v>
      </c>
      <c r="I28" s="124">
        <v>100</v>
      </c>
      <c r="J28" s="124">
        <v>10</v>
      </c>
      <c r="K28" s="124">
        <v>5</v>
      </c>
      <c r="L28" s="129">
        <f>IFERROR((($E28*$I28)+($E28*$J28*0.8)+($E28*$K28*0.9)),0)</f>
        <v>1350</v>
      </c>
      <c r="M28" s="129">
        <f>IFERROR((($F28*$I28)+($F28*$J28*0.8)+($F28*$K28*0.9)),0)</f>
        <v>1440</v>
      </c>
      <c r="N28" s="129">
        <f>IFERROR($M28-$L28,0)</f>
        <v>90</v>
      </c>
    </row>
    <row r="29" spans="1:14" s="75" customFormat="1" ht="15">
      <c r="A29" s="122"/>
      <c r="B29" s="123"/>
      <c r="C29" s="126"/>
      <c r="D29" s="127"/>
      <c r="E29" s="127">
        <f t="shared" si="6" ref="E29:E32">ROUND($D29*$B$9*$B$10,2)</f>
        <v>0</v>
      </c>
      <c r="F29" s="127"/>
      <c r="G29" s="128">
        <f>IFERROR(($F29/$E29)-1,0)</f>
        <v>0</v>
      </c>
      <c r="H29" s="128">
        <f t="shared" si="7" ref="H29:H32">IFERROR(($F29/$D29)-1,0)</f>
        <v>0</v>
      </c>
      <c r="I29" s="124"/>
      <c r="J29" s="124"/>
      <c r="K29" s="124"/>
      <c r="L29" s="129">
        <f t="shared" si="8" ref="L29:L32">IFERROR((($E29*$I29)+($E29*$J29*0.8)+($E29*$K29*0.9)),0)</f>
        <v>0</v>
      </c>
      <c r="M29" s="129">
        <f t="shared" si="9" ref="M29:M32">IFERROR((($F29*$I29)+($F29*$J29*0.8)+($F29*$K29*0.9)),0)</f>
        <v>0</v>
      </c>
      <c r="N29" s="129">
        <f>IFERROR($M29-$L29,0)</f>
        <v>0</v>
      </c>
    </row>
    <row r="30" spans="1:14" s="75" customFormat="1" ht="15">
      <c r="A30" s="122"/>
      <c r="B30" s="123"/>
      <c r="C30" s="126"/>
      <c r="D30" s="127"/>
      <c r="E30" s="127">
        <f>ROUND($D30*$B$9*$B$10,2)</f>
        <v>0</v>
      </c>
      <c r="F30" s="127"/>
      <c r="G30" s="128">
        <f t="shared" si="10" ref="G30:G32">IFERROR(($F30/$E30)-1,0)</f>
        <v>0</v>
      </c>
      <c r="H30" s="128">
        <f>IFERROR(($F30/$D30)-1,0)</f>
        <v>0</v>
      </c>
      <c r="I30" s="124"/>
      <c r="J30" s="124"/>
      <c r="K30" s="124"/>
      <c r="L30" s="129">
        <f>IFERROR((($E30*$I30)+($E30*$J30*0.8)+($E30*$K30*0.9)),0)</f>
        <v>0</v>
      </c>
      <c r="M30" s="129">
        <f>IFERROR((($F30*$I30)+($F30*$J30*0.8)+($F30*$K30*0.9)),0)</f>
        <v>0</v>
      </c>
      <c r="N30" s="129">
        <f>IFERROR($M30-$L30,0)</f>
        <v>0</v>
      </c>
    </row>
    <row r="31" spans="1:14" s="75" customFormat="1" ht="15">
      <c r="A31" s="122"/>
      <c r="B31" s="123"/>
      <c r="C31" s="126"/>
      <c r="D31" s="127"/>
      <c r="E31" s="127">
        <f>ROUND($D31*$B$9*$B$10,2)</f>
        <v>0</v>
      </c>
      <c r="F31" s="127"/>
      <c r="G31" s="128">
        <f>IFERROR(($F31/$E31)-1,0)</f>
        <v>0</v>
      </c>
      <c r="H31" s="128">
        <f>IFERROR(($F31/$D31)-1,0)</f>
        <v>0</v>
      </c>
      <c r="I31" s="124"/>
      <c r="J31" s="124"/>
      <c r="K31" s="124"/>
      <c r="L31" s="129">
        <f>IFERROR((($E31*$I31)+($E31*$J31*0.8)+($E31*$K31*0.9)),0)</f>
        <v>0</v>
      </c>
      <c r="M31" s="129">
        <f>IFERROR((($F31*$I31)+($F31*$J31*0.8)+($F31*$K31*0.9)),0)</f>
        <v>0</v>
      </c>
      <c r="N31" s="129">
        <f>IFERROR($M31-$L31,0)</f>
        <v>0</v>
      </c>
    </row>
    <row r="32" spans="1:14" s="75" customFormat="1" ht="15">
      <c r="A32" s="122"/>
      <c r="B32" s="123"/>
      <c r="C32" s="126"/>
      <c r="D32" s="127"/>
      <c r="E32" s="127">
        <f>ROUND($D32*$B$9*$B$10,2)</f>
        <v>0</v>
      </c>
      <c r="F32" s="127"/>
      <c r="G32" s="128">
        <f>IFERROR(($F32/$E32)-1,0)</f>
        <v>0</v>
      </c>
      <c r="H32" s="128">
        <f>IFERROR(($F32/$D32)-1,0)</f>
        <v>0</v>
      </c>
      <c r="I32" s="124"/>
      <c r="J32" s="124"/>
      <c r="K32" s="124"/>
      <c r="L32" s="129">
        <f>IFERROR((($E32*$I32)+($E32*$J32*0.8)+($E32*$K32*0.9)),0)</f>
        <v>0</v>
      </c>
      <c r="M32" s="129">
        <f>IFERROR((($F32*$I32)+($F32*$J32*0.8)+($F32*$K32*0.9)),0)</f>
        <v>0</v>
      </c>
      <c r="N32" s="129">
        <f>IFERROR($M32-$L32,0)</f>
        <v>0</v>
      </c>
    </row>
    <row r="33" spans="1:14" s="75" customFormat="1" ht="15">
      <c r="A33" s="122"/>
      <c r="B33" s="21" t="s">
        <v>46</v>
      </c>
      <c r="C33" s="21" t="s">
        <v>44</v>
      </c>
      <c r="D33" s="127"/>
      <c r="E33" s="127"/>
      <c r="F33" s="127"/>
      <c r="G33" s="128"/>
      <c r="H33" s="128"/>
      <c r="I33" s="124"/>
      <c r="J33" s="124"/>
      <c r="K33" s="124"/>
      <c r="L33" s="125"/>
      <c r="M33" s="125"/>
      <c r="N33" s="125"/>
    </row>
    <row r="34" spans="1:14" s="75" customFormat="1" ht="15">
      <c r="A34" s="122" t="s">
        <v>62</v>
      </c>
      <c r="B34" s="123" t="s">
        <v>65</v>
      </c>
      <c r="C34" s="126" t="s">
        <v>44</v>
      </c>
      <c r="D34" s="127">
        <v>15</v>
      </c>
      <c r="E34" s="127">
        <f>ROUND($D34*$B$9*$B$10,2)</f>
        <v>18</v>
      </c>
      <c r="F34" s="127">
        <v>19.20</v>
      </c>
      <c r="G34" s="128">
        <f>IFERROR(($F34/$E34)-1,0)</f>
        <v>0.06666666666666665</v>
      </c>
      <c r="H34" s="128">
        <f>IFERROR(($F34/$D34)-1,0)</f>
        <v>0.28</v>
      </c>
      <c r="I34" s="124">
        <v>100</v>
      </c>
      <c r="J34" s="124">
        <v>10</v>
      </c>
      <c r="K34" s="124">
        <v>5</v>
      </c>
      <c r="L34" s="129">
        <f>IFERROR((($E34*$I34)+($E34*$J34*0.8)+($E34*$K34*0.9)),0)</f>
        <v>2025</v>
      </c>
      <c r="M34" s="129">
        <f>IFERROR((($F34*$I34)+($F34*$J34*0.8)+($F34*$K34*0.9)),0)</f>
        <v>2160</v>
      </c>
      <c r="N34" s="129">
        <f>IFERROR($M34-$L34,0)</f>
        <v>135</v>
      </c>
    </row>
    <row r="35" spans="1:14" s="75" customFormat="1" ht="15">
      <c r="A35" s="122"/>
      <c r="B35" s="123"/>
      <c r="C35" s="126"/>
      <c r="D35" s="127"/>
      <c r="E35" s="127">
        <f t="shared" si="11" ref="E35:E38">ROUND($D35*$B$9*$B$10,2)</f>
        <v>0</v>
      </c>
      <c r="F35" s="127"/>
      <c r="G35" s="128">
        <f>IFERROR(($F35/$E35)-1,0)</f>
        <v>0</v>
      </c>
      <c r="H35" s="128">
        <f t="shared" si="12" ref="H35:H38">IFERROR(($F35/$D35)-1,0)</f>
        <v>0</v>
      </c>
      <c r="I35" s="124"/>
      <c r="J35" s="124"/>
      <c r="K35" s="124"/>
      <c r="L35" s="129">
        <f t="shared" si="13" ref="L35:L38">IFERROR((($E35*$I35)+($E35*$J35*0.8)+($E35*$K35*0.9)),0)</f>
        <v>0</v>
      </c>
      <c r="M35" s="129">
        <f t="shared" si="14" ref="M35:M38">IFERROR((($F35*$I35)+($F35*$J35*0.8)+($F35*$K35*0.9)),0)</f>
        <v>0</v>
      </c>
      <c r="N35" s="129">
        <f>IFERROR($M35-$L35,0)</f>
        <v>0</v>
      </c>
    </row>
    <row r="36" spans="1:14" s="75" customFormat="1" ht="15">
      <c r="A36" s="122"/>
      <c r="B36" s="123"/>
      <c r="C36" s="126"/>
      <c r="D36" s="127"/>
      <c r="E36" s="127">
        <f>ROUND($D36*$B$9*$B$10,2)</f>
        <v>0</v>
      </c>
      <c r="F36" s="127"/>
      <c r="G36" s="128">
        <f t="shared" si="15" ref="G36:G38">IFERROR(($F36/$E36)-1,0)</f>
        <v>0</v>
      </c>
      <c r="H36" s="128">
        <f>IFERROR(($F36/$D36)-1,0)</f>
        <v>0</v>
      </c>
      <c r="I36" s="124"/>
      <c r="J36" s="124"/>
      <c r="K36" s="124"/>
      <c r="L36" s="129">
        <f>IFERROR((($E36*$I36)+($E36*$J36*0.8)+($E36*$K36*0.9)),0)</f>
        <v>0</v>
      </c>
      <c r="M36" s="129">
        <f>IFERROR((($F36*$I36)+($F36*$J36*0.8)+($F36*$K36*0.9)),0)</f>
        <v>0</v>
      </c>
      <c r="N36" s="129">
        <f>IFERROR($M36-$L36,0)</f>
        <v>0</v>
      </c>
    </row>
    <row r="37" spans="1:14" s="75" customFormat="1" ht="15">
      <c r="A37" s="122"/>
      <c r="B37" s="123"/>
      <c r="C37" s="126"/>
      <c r="D37" s="127"/>
      <c r="E37" s="127">
        <f>ROUND($D37*$B$9*$B$10,2)</f>
        <v>0</v>
      </c>
      <c r="F37" s="127"/>
      <c r="G37" s="128">
        <f>IFERROR(($F37/$E37)-1,0)</f>
        <v>0</v>
      </c>
      <c r="H37" s="128">
        <f>IFERROR(($F37/$D37)-1,0)</f>
        <v>0</v>
      </c>
      <c r="I37" s="124"/>
      <c r="J37" s="124"/>
      <c r="K37" s="124"/>
      <c r="L37" s="129">
        <f>IFERROR((($E37*$I37)+($E37*$J37*0.8)+($E37*$K37*0.9)),0)</f>
        <v>0</v>
      </c>
      <c r="M37" s="129">
        <f>IFERROR((($F37*$I37)+($F37*$J37*0.8)+($F37*$K37*0.9)),0)</f>
        <v>0</v>
      </c>
      <c r="N37" s="129">
        <f>IFERROR($M37-$L37,0)</f>
        <v>0</v>
      </c>
    </row>
    <row r="38" spans="1:14" s="75" customFormat="1" ht="15">
      <c r="A38" s="122"/>
      <c r="B38" s="123"/>
      <c r="C38" s="126"/>
      <c r="D38" s="127"/>
      <c r="E38" s="127">
        <f>ROUND($D38*$B$9*$B$10,2)</f>
        <v>0</v>
      </c>
      <c r="F38" s="127"/>
      <c r="G38" s="128">
        <f>IFERROR(($F38/$E38)-1,0)</f>
        <v>0</v>
      </c>
      <c r="H38" s="128">
        <f>IFERROR(($F38/$D38)-1,0)</f>
        <v>0</v>
      </c>
      <c r="I38" s="124"/>
      <c r="J38" s="124"/>
      <c r="K38" s="124"/>
      <c r="L38" s="129">
        <f>IFERROR((($E38*$I38)+($E38*$J38*0.8)+($E38*$K38*0.9)),0)</f>
        <v>0</v>
      </c>
      <c r="M38" s="129">
        <f>IFERROR((($F38*$I38)+($F38*$J38*0.8)+($F38*$K38*0.9)),0)</f>
        <v>0</v>
      </c>
      <c r="N38" s="129">
        <f>IFERROR($M38-$L38,0)</f>
        <v>0</v>
      </c>
    </row>
    <row r="39" spans="1:14" s="75" customFormat="1" ht="15">
      <c r="A39" s="122"/>
      <c r="B39" s="21" t="s">
        <v>45</v>
      </c>
      <c r="C39" s="21" t="s">
        <v>61</v>
      </c>
      <c r="D39" s="127"/>
      <c r="E39" s="127"/>
      <c r="F39" s="127"/>
      <c r="G39" s="128"/>
      <c r="H39" s="128"/>
      <c r="I39" s="124"/>
      <c r="J39" s="124"/>
      <c r="K39" s="124"/>
      <c r="L39" s="125"/>
      <c r="M39" s="125"/>
      <c r="N39" s="125"/>
    </row>
    <row r="40" spans="1:14" s="75" customFormat="1" ht="15">
      <c r="A40" s="122" t="s">
        <v>62</v>
      </c>
      <c r="B40" s="123" t="s">
        <v>66</v>
      </c>
      <c r="C40" s="126" t="s">
        <v>61</v>
      </c>
      <c r="D40" s="127">
        <v>1</v>
      </c>
      <c r="E40" s="127">
        <f>ROUND($D40*$B$9*$B$10,2)</f>
        <v>1.20</v>
      </c>
      <c r="F40" s="127">
        <v>1.28</v>
      </c>
      <c r="G40" s="128">
        <f>IFERROR(($F40/$E40)-1,0)</f>
        <v>0.06666666666666665</v>
      </c>
      <c r="H40" s="128">
        <f>IFERROR(($F40/$D40)-1,0)</f>
        <v>0.28</v>
      </c>
      <c r="I40" s="124">
        <v>1</v>
      </c>
      <c r="J40" s="124">
        <v>0</v>
      </c>
      <c r="K40" s="124">
        <v>0</v>
      </c>
      <c r="L40" s="129">
        <f>IFERROR((($E40*$I40)+($E40*$J40*0.8)+($E40*$K40*0.9)),0)</f>
        <v>1.20</v>
      </c>
      <c r="M40" s="129">
        <f>IFERROR((($F40*$I40)+($F40*$J40*0.8)+($F40*$K40*0.9)),0)</f>
        <v>1.28</v>
      </c>
      <c r="N40" s="129">
        <f>IFERROR($M40-$L40,0)</f>
        <v>0.08000000000000007</v>
      </c>
    </row>
    <row r="41" spans="1:14" s="75" customFormat="1" ht="15">
      <c r="A41" s="122"/>
      <c r="B41" s="123"/>
      <c r="C41" s="126"/>
      <c r="D41" s="127"/>
      <c r="E41" s="127">
        <f t="shared" si="16" ref="E41:E44">ROUND($D41*$B$9*$B$10,2)</f>
        <v>0</v>
      </c>
      <c r="F41" s="127"/>
      <c r="G41" s="128">
        <f>IFERROR(($F41/$E41)-1,0)</f>
        <v>0</v>
      </c>
      <c r="H41" s="128">
        <f t="shared" si="17" ref="H41:H44">IFERROR(($F41/$D41)-1,0)</f>
        <v>0</v>
      </c>
      <c r="I41" s="124"/>
      <c r="J41" s="124"/>
      <c r="K41" s="124"/>
      <c r="L41" s="129">
        <f t="shared" si="18" ref="L41:L44">IFERROR((($E41*$I41)+($E41*$J41*0.8)+($E41*$K41*0.9)),0)</f>
        <v>0</v>
      </c>
      <c r="M41" s="129">
        <f t="shared" si="19" ref="M41:M44">IFERROR((($F41*$I41)+($F41*$J41*0.8)+($F41*$K41*0.9)),0)</f>
        <v>0</v>
      </c>
      <c r="N41" s="129">
        <f>IFERROR($M41-$L41,0)</f>
        <v>0</v>
      </c>
    </row>
    <row r="42" spans="1:14" s="75" customFormat="1" ht="15">
      <c r="A42" s="122"/>
      <c r="B42" s="123"/>
      <c r="C42" s="126"/>
      <c r="D42" s="127"/>
      <c r="E42" s="127">
        <f>ROUND($D42*$B$9*$B$10,2)</f>
        <v>0</v>
      </c>
      <c r="F42" s="127"/>
      <c r="G42" s="128">
        <f t="shared" si="20" ref="G42:G44">IFERROR(($F42/$E42)-1,0)</f>
        <v>0</v>
      </c>
      <c r="H42" s="128">
        <f>IFERROR(($F42/$D42)-1,0)</f>
        <v>0</v>
      </c>
      <c r="I42" s="124"/>
      <c r="J42" s="124"/>
      <c r="K42" s="124"/>
      <c r="L42" s="129">
        <f>IFERROR((($E42*$I42)+($E42*$J42*0.8)+($E42*$K42*0.9)),0)</f>
        <v>0</v>
      </c>
      <c r="M42" s="129">
        <f>IFERROR((($F42*$I42)+($F42*$J42*0.8)+($F42*$K42*0.9)),0)</f>
        <v>0</v>
      </c>
      <c r="N42" s="129">
        <f>IFERROR($M42-$L42,0)</f>
        <v>0</v>
      </c>
    </row>
    <row r="43" spans="1:14" s="75" customFormat="1" ht="15">
      <c r="A43" s="122"/>
      <c r="B43" s="123"/>
      <c r="C43" s="126"/>
      <c r="D43" s="127"/>
      <c r="E43" s="127">
        <f>ROUND($D43*$B$9*$B$10,2)</f>
        <v>0</v>
      </c>
      <c r="F43" s="127"/>
      <c r="G43" s="128">
        <f>IFERROR(($F43/$E43)-1,0)</f>
        <v>0</v>
      </c>
      <c r="H43" s="128">
        <f>IFERROR(($F43/$D43)-1,0)</f>
        <v>0</v>
      </c>
      <c r="I43" s="124"/>
      <c r="J43" s="124"/>
      <c r="K43" s="124"/>
      <c r="L43" s="129">
        <f>IFERROR((($E43*$I43)+($E43*$J43*0.8)+($E43*$K43*0.9)),0)</f>
        <v>0</v>
      </c>
      <c r="M43" s="129">
        <f>IFERROR((($F43*$I43)+($F43*$J43*0.8)+($F43*$K43*0.9)),0)</f>
        <v>0</v>
      </c>
      <c r="N43" s="129">
        <f>IFERROR($M43-$L43,0)</f>
        <v>0</v>
      </c>
    </row>
    <row r="44" spans="1:14" s="75" customFormat="1" ht="15">
      <c r="A44" s="122"/>
      <c r="B44" s="123"/>
      <c r="C44" s="126"/>
      <c r="D44" s="127"/>
      <c r="E44" s="127">
        <f>ROUND($D44*$B$9*$B$10,2)</f>
        <v>0</v>
      </c>
      <c r="F44" s="127"/>
      <c r="G44" s="128">
        <f>IFERROR(($F44/$E44)-1,0)</f>
        <v>0</v>
      </c>
      <c r="H44" s="128">
        <f>IFERROR(($F44/$D44)-1,0)</f>
        <v>0</v>
      </c>
      <c r="I44" s="124"/>
      <c r="J44" s="124"/>
      <c r="K44" s="124"/>
      <c r="L44" s="129">
        <f>IFERROR((($E44*$I44)+($E44*$J44*0.8)+($E44*$K44*0.9)),0)</f>
        <v>0</v>
      </c>
      <c r="M44" s="129">
        <f>IFERROR((($F44*$I44)+($F44*$J44*0.8)+($F44*$K44*0.9)),0)</f>
        <v>0</v>
      </c>
      <c r="N44" s="129">
        <f>IFERROR($M44-$L44,0)</f>
        <v>0</v>
      </c>
    </row>
    <row r="45" spans="1:14" s="75" customFormat="1" ht="15">
      <c r="A45" s="122"/>
      <c r="B45" s="21" t="s">
        <v>50</v>
      </c>
      <c r="C45" s="21" t="s">
        <v>51</v>
      </c>
      <c r="D45" s="127"/>
      <c r="E45" s="127"/>
      <c r="F45" s="127"/>
      <c r="G45" s="128"/>
      <c r="H45" s="128"/>
      <c r="I45" s="124"/>
      <c r="J45" s="124"/>
      <c r="K45" s="124"/>
      <c r="L45" s="125"/>
      <c r="M45" s="125"/>
      <c r="N45" s="125"/>
    </row>
    <row r="46" spans="1:14" s="75" customFormat="1" ht="30">
      <c r="A46" s="122" t="s">
        <v>62</v>
      </c>
      <c r="B46" s="123" t="s">
        <v>67</v>
      </c>
      <c r="C46" s="126" t="s">
        <v>51</v>
      </c>
      <c r="D46" s="127">
        <v>20</v>
      </c>
      <c r="E46" s="127">
        <f>ROUND($D46*$B$9*$B$10,2)</f>
        <v>24</v>
      </c>
      <c r="F46" s="127">
        <v>25.60</v>
      </c>
      <c r="G46" s="128">
        <f>IFERROR(($F46/$E46)-1,0)</f>
        <v>0.06666666666666665</v>
      </c>
      <c r="H46" s="128">
        <f>IFERROR(($F46/$D46)-1,0)</f>
        <v>0.28</v>
      </c>
      <c r="I46" s="124">
        <v>100</v>
      </c>
      <c r="J46" s="124">
        <v>10</v>
      </c>
      <c r="K46" s="124">
        <v>5</v>
      </c>
      <c r="L46" s="129">
        <f>IFERROR((($E46*$I46)+($E46*$J46*0.8)+($E46*$K46*0.9)),0)</f>
        <v>2700</v>
      </c>
      <c r="M46" s="129">
        <f>IFERROR((($F46*$I46)+($F46*$J46*0.8)+($F46*$K46*0.9)),0)</f>
        <v>2880</v>
      </c>
      <c r="N46" s="129">
        <f>IFERROR($M46-$L46,0)</f>
        <v>180</v>
      </c>
    </row>
    <row r="47" spans="1:14" s="75" customFormat="1" ht="15">
      <c r="A47" s="122"/>
      <c r="B47" s="123"/>
      <c r="C47" s="126"/>
      <c r="D47" s="127"/>
      <c r="E47" s="127">
        <f t="shared" si="21" ref="E47:E50">ROUND($D47*$B$9*$B$10,2)</f>
        <v>0</v>
      </c>
      <c r="F47" s="127"/>
      <c r="G47" s="128">
        <f>IFERROR(($F47/$E47)-1,0)</f>
        <v>0</v>
      </c>
      <c r="H47" s="128">
        <f t="shared" si="22" ref="H47:H50">IFERROR(($F47/$D47)-1,0)</f>
        <v>0</v>
      </c>
      <c r="I47" s="124"/>
      <c r="J47" s="124"/>
      <c r="K47" s="124"/>
      <c r="L47" s="129">
        <f t="shared" si="23" ref="L47:L50">IFERROR((($E47*$I47)+($E47*$J47*0.8)+($E47*$K47*0.9)),0)</f>
        <v>0</v>
      </c>
      <c r="M47" s="129">
        <f t="shared" si="24" ref="M47:M50">IFERROR((($F47*$I47)+($F47*$J47*0.8)+($F47*$K47*0.9)),0)</f>
        <v>0</v>
      </c>
      <c r="N47" s="129">
        <f>IFERROR($M47-$L47,0)</f>
        <v>0</v>
      </c>
    </row>
    <row r="48" spans="1:14" s="75" customFormat="1" ht="15">
      <c r="A48" s="122"/>
      <c r="B48" s="123"/>
      <c r="C48" s="126"/>
      <c r="D48" s="127"/>
      <c r="E48" s="127">
        <f>ROUND($D48*$B$9*$B$10,2)</f>
        <v>0</v>
      </c>
      <c r="F48" s="127"/>
      <c r="G48" s="128">
        <f t="shared" si="25" ref="G48:G50">IFERROR(($F48/$E48)-1,0)</f>
        <v>0</v>
      </c>
      <c r="H48" s="128">
        <f>IFERROR(($F48/$D48)-1,0)</f>
        <v>0</v>
      </c>
      <c r="I48" s="124"/>
      <c r="J48" s="124"/>
      <c r="K48" s="124"/>
      <c r="L48" s="129">
        <f>IFERROR((($E48*$I48)+($E48*$J48*0.8)+($E48*$K48*0.9)),0)</f>
        <v>0</v>
      </c>
      <c r="M48" s="129">
        <f>IFERROR((($F48*$I48)+($F48*$J48*0.8)+($F48*$K48*0.9)),0)</f>
        <v>0</v>
      </c>
      <c r="N48" s="129">
        <f>IFERROR($M48-$L48,0)</f>
        <v>0</v>
      </c>
    </row>
    <row r="49" spans="1:14" s="75" customFormat="1" ht="15">
      <c r="A49" s="122"/>
      <c r="B49" s="123"/>
      <c r="C49" s="126"/>
      <c r="D49" s="127"/>
      <c r="E49" s="127">
        <f>ROUND($D49*$B$9*$B$10,2)</f>
        <v>0</v>
      </c>
      <c r="F49" s="127"/>
      <c r="G49" s="128">
        <f>IFERROR(($F49/$E49)-1,0)</f>
        <v>0</v>
      </c>
      <c r="H49" s="128">
        <f>IFERROR(($F49/$D49)-1,0)</f>
        <v>0</v>
      </c>
      <c r="I49" s="124"/>
      <c r="J49" s="124"/>
      <c r="K49" s="124"/>
      <c r="L49" s="129">
        <f>IFERROR((($E49*$I49)+($E49*$J49*0.8)+($E49*$K49*0.9)),0)</f>
        <v>0</v>
      </c>
      <c r="M49" s="129">
        <f>IFERROR((($F49*$I49)+($F49*$J49*0.8)+($F49*$K49*0.9)),0)</f>
        <v>0</v>
      </c>
      <c r="N49" s="129">
        <f>IFERROR($M49-$L49,0)</f>
        <v>0</v>
      </c>
    </row>
    <row r="50" spans="1:14" s="75" customFormat="1" ht="15">
      <c r="A50" s="122"/>
      <c r="B50" s="123"/>
      <c r="C50" s="126"/>
      <c r="D50" s="127"/>
      <c r="E50" s="127">
        <f>ROUND($D50*$B$9*$B$10,2)</f>
        <v>0</v>
      </c>
      <c r="F50" s="127"/>
      <c r="G50" s="128">
        <f>IFERROR(($F50/$E50)-1,0)</f>
        <v>0</v>
      </c>
      <c r="H50" s="128">
        <f>IFERROR(($F50/$D50)-1,0)</f>
        <v>0</v>
      </c>
      <c r="I50" s="124"/>
      <c r="J50" s="124"/>
      <c r="K50" s="124"/>
      <c r="L50" s="129">
        <f>IFERROR((($E50*$I50)+($E50*$J50*0.8)+($E50*$K50*0.9)),0)</f>
        <v>0</v>
      </c>
      <c r="M50" s="129">
        <f>IFERROR((($F50*$I50)+($F50*$J50*0.8)+($F50*$K50*0.9)),0)</f>
        <v>0</v>
      </c>
      <c r="N50" s="129">
        <f>IFERROR($M50-$L50,0)</f>
        <v>0</v>
      </c>
    </row>
    <row r="51" spans="1:14" s="75" customFormat="1" ht="15">
      <c r="A51" s="122"/>
      <c r="B51" s="21" t="s">
        <v>52</v>
      </c>
      <c r="C51" s="21" t="s">
        <v>53</v>
      </c>
      <c r="D51" s="127"/>
      <c r="E51" s="127"/>
      <c r="F51" s="127"/>
      <c r="G51" s="128"/>
      <c r="H51" s="128"/>
      <c r="I51" s="124"/>
      <c r="J51" s="124"/>
      <c r="K51" s="124"/>
      <c r="L51" s="125"/>
      <c r="M51" s="125"/>
      <c r="N51" s="125"/>
    </row>
    <row r="52" spans="1:14" s="75" customFormat="1" ht="15">
      <c r="A52" s="122" t="s">
        <v>62</v>
      </c>
      <c r="B52" s="123" t="s">
        <v>68</v>
      </c>
      <c r="C52" s="126" t="s">
        <v>53</v>
      </c>
      <c r="D52" s="127">
        <v>25</v>
      </c>
      <c r="E52" s="127">
        <f>ROUND($D52*$B$9*$B$10,2)</f>
        <v>30</v>
      </c>
      <c r="F52" s="127">
        <v>32</v>
      </c>
      <c r="G52" s="128">
        <f>IFERROR(($F52/$E52)-1,0)</f>
        <v>0.06666666666666665</v>
      </c>
      <c r="H52" s="128">
        <f>IFERROR(($F52/$D52)-1,0)</f>
        <v>0.28</v>
      </c>
      <c r="I52" s="124">
        <v>100</v>
      </c>
      <c r="J52" s="124">
        <v>10</v>
      </c>
      <c r="K52" s="124">
        <v>5</v>
      </c>
      <c r="L52" s="129">
        <f>IFERROR((($E52*$I52)+($E52*$J52*0.8)+($E52*$K52*0.9)),0)</f>
        <v>3375</v>
      </c>
      <c r="M52" s="129">
        <f>IFERROR((($F52*$I52)+($F52*$J52*0.8)+($F52*$K52*0.9)),0)</f>
        <v>3600</v>
      </c>
      <c r="N52" s="129">
        <f>IFERROR($M52-$L52,0)</f>
        <v>225</v>
      </c>
    </row>
    <row r="53" spans="1:14" s="75" customFormat="1" ht="15">
      <c r="A53" s="122"/>
      <c r="B53" s="123"/>
      <c r="C53" s="126"/>
      <c r="D53" s="127"/>
      <c r="E53" s="127">
        <f t="shared" si="26" ref="E53:E56">ROUND($D53*$B$9*$B$10,2)</f>
        <v>0</v>
      </c>
      <c r="F53" s="127"/>
      <c r="G53" s="128">
        <f>IFERROR(($F53/$E53)-1,0)</f>
        <v>0</v>
      </c>
      <c r="H53" s="128">
        <f t="shared" si="27" ref="H53:H56">IFERROR(($F53/$D53)-1,0)</f>
        <v>0</v>
      </c>
      <c r="I53" s="124"/>
      <c r="J53" s="124"/>
      <c r="K53" s="124"/>
      <c r="L53" s="129">
        <f t="shared" si="28" ref="L53:L56">IFERROR((($E53*$I53)+($E53*$J53*0.8)+($E53*$K53*0.9)),0)</f>
        <v>0</v>
      </c>
      <c r="M53" s="129">
        <f t="shared" si="29" ref="M53:M56">IFERROR((($F53*$I53)+($F53*$J53*0.8)+($F53*$K53*0.9)),0)</f>
        <v>0</v>
      </c>
      <c r="N53" s="129">
        <f>IFERROR($M53-$L53,0)</f>
        <v>0</v>
      </c>
    </row>
    <row r="54" spans="1:14" s="75" customFormat="1" ht="15">
      <c r="A54" s="122"/>
      <c r="B54" s="123"/>
      <c r="C54" s="126"/>
      <c r="D54" s="127"/>
      <c r="E54" s="127">
        <f>ROUND($D54*$B$9*$B$10,2)</f>
        <v>0</v>
      </c>
      <c r="F54" s="127"/>
      <c r="G54" s="128">
        <f t="shared" si="30" ref="G54:G56">IFERROR(($F54/$E54)-1,0)</f>
        <v>0</v>
      </c>
      <c r="H54" s="128">
        <f>IFERROR(($F54/$D54)-1,0)</f>
        <v>0</v>
      </c>
      <c r="I54" s="124"/>
      <c r="J54" s="124"/>
      <c r="K54" s="124"/>
      <c r="L54" s="129">
        <f>IFERROR((($E54*$I54)+($E54*$J54*0.8)+($E54*$K54*0.9)),0)</f>
        <v>0</v>
      </c>
      <c r="M54" s="129">
        <f>IFERROR((($F54*$I54)+($F54*$J54*0.8)+($F54*$K54*0.9)),0)</f>
        <v>0</v>
      </c>
      <c r="N54" s="129">
        <f>IFERROR($M54-$L54,0)</f>
        <v>0</v>
      </c>
    </row>
    <row r="55" spans="1:14" s="75" customFormat="1" ht="15">
      <c r="A55" s="122"/>
      <c r="B55" s="123"/>
      <c r="C55" s="126"/>
      <c r="D55" s="127"/>
      <c r="E55" s="127">
        <f>ROUND($D55*$B$9*$B$10,2)</f>
        <v>0</v>
      </c>
      <c r="F55" s="127"/>
      <c r="G55" s="128">
        <f>IFERROR(($F55/$E55)-1,0)</f>
        <v>0</v>
      </c>
      <c r="H55" s="128">
        <f>IFERROR(($F55/$D55)-1,0)</f>
        <v>0</v>
      </c>
      <c r="I55" s="124"/>
      <c r="J55" s="124"/>
      <c r="K55" s="124"/>
      <c r="L55" s="129">
        <f>IFERROR((($E55*$I55)+($E55*$J55*0.8)+($E55*$K55*0.9)),0)</f>
        <v>0</v>
      </c>
      <c r="M55" s="129">
        <f>IFERROR((($F55*$I55)+($F55*$J55*0.8)+($F55*$K55*0.9)),0)</f>
        <v>0</v>
      </c>
      <c r="N55" s="129">
        <f>IFERROR($M55-$L55,0)</f>
        <v>0</v>
      </c>
    </row>
    <row r="56" spans="1:14" s="75" customFormat="1" ht="15">
      <c r="A56" s="122"/>
      <c r="B56" s="123"/>
      <c r="C56" s="126"/>
      <c r="D56" s="127"/>
      <c r="E56" s="127">
        <f>ROUND($D56*$B$9*$B$10,2)</f>
        <v>0</v>
      </c>
      <c r="F56" s="127"/>
      <c r="G56" s="128">
        <f>IFERROR(($F56/$E56)-1,0)</f>
        <v>0</v>
      </c>
      <c r="H56" s="128">
        <f>IFERROR(($F56/$D56)-1,0)</f>
        <v>0</v>
      </c>
      <c r="I56" s="124"/>
      <c r="J56" s="124"/>
      <c r="K56" s="124"/>
      <c r="L56" s="129">
        <f>IFERROR((($E56*$I56)+($E56*$J56*0.8)+($E56*$K56*0.9)),0)</f>
        <v>0</v>
      </c>
      <c r="M56" s="129">
        <f>IFERROR((($F56*$I56)+($F56*$J56*0.8)+($F56*$K56*0.9)),0)</f>
        <v>0</v>
      </c>
      <c r="N56" s="129">
        <f>IFERROR($M56-$L56,0)</f>
        <v>0</v>
      </c>
    </row>
    <row r="57" spans="1:14" s="75" customFormat="1" ht="15">
      <c r="A57" s="122"/>
      <c r="B57" s="21" t="s">
        <v>54</v>
      </c>
      <c r="C57" s="21" t="s">
        <v>55</v>
      </c>
      <c r="D57" s="127"/>
      <c r="E57" s="127"/>
      <c r="F57" s="127"/>
      <c r="G57" s="128"/>
      <c r="H57" s="128"/>
      <c r="I57" s="124"/>
      <c r="J57" s="124"/>
      <c r="K57" s="124"/>
      <c r="L57" s="125"/>
      <c r="M57" s="125"/>
      <c r="N57" s="125"/>
    </row>
    <row r="58" spans="1:14" s="75" customFormat="1" ht="15">
      <c r="A58" s="122" t="s">
        <v>62</v>
      </c>
      <c r="B58" s="123" t="s">
        <v>69</v>
      </c>
      <c r="C58" s="126" t="s">
        <v>55</v>
      </c>
      <c r="D58" s="127">
        <v>30</v>
      </c>
      <c r="E58" s="127">
        <f>ROUND($D58*$B$9*$B$10,2)</f>
        <v>36</v>
      </c>
      <c r="F58" s="127">
        <v>38.40</v>
      </c>
      <c r="G58" s="128">
        <f>IFERROR(($F58/$E58)-1,0)</f>
        <v>0.06666666666666665</v>
      </c>
      <c r="H58" s="128">
        <f>IFERROR(($F58/$D58)-1,0)</f>
        <v>0.28</v>
      </c>
      <c r="I58" s="124">
        <v>100</v>
      </c>
      <c r="J58" s="124">
        <v>10</v>
      </c>
      <c r="K58" s="124">
        <v>5</v>
      </c>
      <c r="L58" s="129">
        <f>IFERROR((($E58*$I58)+($E58*$J58*0.8)+($E58*$K58*0.9)),0)</f>
        <v>4050</v>
      </c>
      <c r="M58" s="129">
        <f>IFERROR((($F58*$I58)+($F58*$J58*0.8)+($F58*$K58*0.9)),0)</f>
        <v>4320</v>
      </c>
      <c r="N58" s="129">
        <f>IFERROR($M58-$L58,0)</f>
        <v>270</v>
      </c>
    </row>
    <row r="59" spans="1:14" s="75" customFormat="1" ht="15">
      <c r="A59" s="122"/>
      <c r="B59" s="123"/>
      <c r="C59" s="126"/>
      <c r="D59" s="127"/>
      <c r="E59" s="127">
        <f t="shared" si="31" ref="E59:E62">ROUND($D59*$B$9*$B$10,2)</f>
        <v>0</v>
      </c>
      <c r="F59" s="127"/>
      <c r="G59" s="128">
        <f>IFERROR(($F59/$E59)-1,0)</f>
        <v>0</v>
      </c>
      <c r="H59" s="128">
        <f t="shared" si="32" ref="H59:H62">IFERROR(($F59/$D59)-1,0)</f>
        <v>0</v>
      </c>
      <c r="I59" s="124"/>
      <c r="J59" s="124"/>
      <c r="K59" s="124"/>
      <c r="L59" s="129">
        <f t="shared" si="33" ref="L59:L62">IFERROR((($E59*$I59)+($E59*$J59*0.8)+($E59*$K59*0.9)),0)</f>
        <v>0</v>
      </c>
      <c r="M59" s="129">
        <f t="shared" si="34" ref="M59:M62">IFERROR((($F59*$I59)+($F59*$J59*0.8)+($F59*$K59*0.9)),0)</f>
        <v>0</v>
      </c>
      <c r="N59" s="129">
        <f>IFERROR($M59-$L59,0)</f>
        <v>0</v>
      </c>
    </row>
    <row r="60" spans="1:14" s="75" customFormat="1" ht="15">
      <c r="A60" s="122"/>
      <c r="B60" s="123"/>
      <c r="C60" s="126"/>
      <c r="D60" s="127"/>
      <c r="E60" s="127">
        <f>ROUND($D60*$B$9*$B$10,2)</f>
        <v>0</v>
      </c>
      <c r="F60" s="127"/>
      <c r="G60" s="128">
        <f t="shared" si="35" ref="G60:G62">IFERROR(($F60/$E60)-1,0)</f>
        <v>0</v>
      </c>
      <c r="H60" s="128">
        <f>IFERROR(($F60/$D60)-1,0)</f>
        <v>0</v>
      </c>
      <c r="I60" s="124"/>
      <c r="J60" s="124"/>
      <c r="K60" s="124"/>
      <c r="L60" s="129">
        <f>IFERROR((($E60*$I60)+($E60*$J60*0.8)+($E60*$K60*0.9)),0)</f>
        <v>0</v>
      </c>
      <c r="M60" s="129">
        <f>IFERROR((($F60*$I60)+($F60*$J60*0.8)+($F60*$K60*0.9)),0)</f>
        <v>0</v>
      </c>
      <c r="N60" s="129">
        <f>IFERROR($M60-$L60,0)</f>
        <v>0</v>
      </c>
    </row>
    <row r="61" spans="1:14" s="75" customFormat="1" ht="15">
      <c r="A61" s="122"/>
      <c r="B61" s="123"/>
      <c r="C61" s="126"/>
      <c r="D61" s="127"/>
      <c r="E61" s="127">
        <f>ROUND($D61*$B$9*$B$10,2)</f>
        <v>0</v>
      </c>
      <c r="F61" s="127"/>
      <c r="G61" s="128">
        <f>IFERROR(($F61/$E61)-1,0)</f>
        <v>0</v>
      </c>
      <c r="H61" s="128">
        <f>IFERROR(($F61/$D61)-1,0)</f>
        <v>0</v>
      </c>
      <c r="I61" s="124"/>
      <c r="J61" s="124"/>
      <c r="K61" s="124"/>
      <c r="L61" s="129">
        <f>IFERROR((($E61*$I61)+($E61*$J61*0.8)+($E61*$K61*0.9)),0)</f>
        <v>0</v>
      </c>
      <c r="M61" s="129">
        <f>IFERROR((($F61*$I61)+($F61*$J61*0.8)+($F61*$K61*0.9)),0)</f>
        <v>0</v>
      </c>
      <c r="N61" s="129">
        <f>IFERROR($M61-$L61,0)</f>
        <v>0</v>
      </c>
    </row>
    <row r="62" spans="1:14" s="75" customFormat="1" ht="15">
      <c r="A62" s="122"/>
      <c r="B62" s="123"/>
      <c r="C62" s="126"/>
      <c r="D62" s="127"/>
      <c r="E62" s="127">
        <f>ROUND($D62*$B$9*$B$10,2)</f>
        <v>0</v>
      </c>
      <c r="F62" s="127"/>
      <c r="G62" s="128">
        <f>IFERROR(($F62/$E62)-1,0)</f>
        <v>0</v>
      </c>
      <c r="H62" s="128">
        <f>IFERROR(($F62/$D62)-1,0)</f>
        <v>0</v>
      </c>
      <c r="I62" s="124"/>
      <c r="J62" s="124"/>
      <c r="K62" s="124"/>
      <c r="L62" s="129">
        <f>IFERROR((($E62*$I62)+($E62*$J62*0.8)+($E62*$K62*0.9)),0)</f>
        <v>0</v>
      </c>
      <c r="M62" s="129">
        <f>IFERROR((($F62*$I62)+($F62*$J62*0.8)+($F62*$K62*0.9)),0)</f>
        <v>0</v>
      </c>
      <c r="N62" s="129">
        <f>IFERROR($M62-$L62,0)</f>
        <v>0</v>
      </c>
    </row>
    <row r="63" spans="1:14" s="75" customFormat="1" ht="15">
      <c r="A63" s="122"/>
      <c r="B63" s="21" t="s">
        <v>57</v>
      </c>
      <c r="C63" s="21" t="s">
        <v>58</v>
      </c>
      <c r="D63" s="127"/>
      <c r="E63" s="127"/>
      <c r="F63" s="127"/>
      <c r="G63" s="128"/>
      <c r="H63" s="128"/>
      <c r="I63" s="124"/>
      <c r="J63" s="124"/>
      <c r="K63" s="124"/>
      <c r="L63" s="125"/>
      <c r="M63" s="125"/>
      <c r="N63" s="125"/>
    </row>
    <row r="64" spans="1:14" s="75" customFormat="1" ht="15">
      <c r="A64" s="122" t="s">
        <v>62</v>
      </c>
      <c r="B64" s="123" t="s">
        <v>70</v>
      </c>
      <c r="C64" s="126" t="s">
        <v>58</v>
      </c>
      <c r="D64" s="127">
        <v>35</v>
      </c>
      <c r="E64" s="127">
        <f>ROUND($D64*$B$9*$B$10,2)</f>
        <v>42</v>
      </c>
      <c r="F64" s="127">
        <v>44.80</v>
      </c>
      <c r="G64" s="128">
        <f>IFERROR(($F64/$E64)-1,0)</f>
        <v>0.06666666666666665</v>
      </c>
      <c r="H64" s="128">
        <f>IFERROR(($F64/$D64)-1,0)</f>
        <v>0.28</v>
      </c>
      <c r="I64" s="124">
        <v>100</v>
      </c>
      <c r="J64" s="124">
        <v>10</v>
      </c>
      <c r="K64" s="124">
        <v>5</v>
      </c>
      <c r="L64" s="129">
        <f>IFERROR((($E64*$I64)+($E64*$J64*0.8)+($E64*$K64*0.9)),0)</f>
        <v>4725</v>
      </c>
      <c r="M64" s="129">
        <f>IFERROR((($F64*$I64)+($F64*$J64*0.8)+($F64*$K64*0.9)),0)</f>
        <v>5040</v>
      </c>
      <c r="N64" s="129">
        <f>IFERROR($M64-$L64,0)</f>
        <v>315</v>
      </c>
    </row>
    <row r="65" spans="1:14" s="75" customFormat="1" ht="15">
      <c r="A65" s="122"/>
      <c r="B65" s="123"/>
      <c r="C65" s="126"/>
      <c r="D65" s="127"/>
      <c r="E65" s="127">
        <f t="shared" si="36" ref="E65:E68">ROUND($D65*$B$9*$B$10,2)</f>
        <v>0</v>
      </c>
      <c r="F65" s="127"/>
      <c r="G65" s="128">
        <f>IFERROR(($F65/$E65)-1,0)</f>
        <v>0</v>
      </c>
      <c r="H65" s="128">
        <f t="shared" si="37" ref="H65:H68">IFERROR(($F65/$D65)-1,0)</f>
        <v>0</v>
      </c>
      <c r="I65" s="124"/>
      <c r="J65" s="124"/>
      <c r="K65" s="124"/>
      <c r="L65" s="129">
        <f t="shared" si="38" ref="L65:L68">IFERROR((($E65*$I65)+($E65*$J65*0.8)+($E65*$K65*0.9)),0)</f>
        <v>0</v>
      </c>
      <c r="M65" s="129">
        <f t="shared" si="39" ref="M65:M68">IFERROR((($F65*$I65)+($F65*$J65*0.8)+($F65*$K65*0.9)),0)</f>
        <v>0</v>
      </c>
      <c r="N65" s="129">
        <f>IFERROR($M65-$L65,0)</f>
        <v>0</v>
      </c>
    </row>
    <row r="66" spans="1:14" s="75" customFormat="1" ht="15">
      <c r="A66" s="122"/>
      <c r="B66" s="123"/>
      <c r="C66" s="126"/>
      <c r="D66" s="127"/>
      <c r="E66" s="127">
        <f>ROUND($D66*$B$9*$B$10,2)</f>
        <v>0</v>
      </c>
      <c r="F66" s="127"/>
      <c r="G66" s="128">
        <f t="shared" si="40" ref="G66:G68">IFERROR(($F66/$E66)-1,0)</f>
        <v>0</v>
      </c>
      <c r="H66" s="128">
        <f>IFERROR(($F66/$D66)-1,0)</f>
        <v>0</v>
      </c>
      <c r="I66" s="124"/>
      <c r="J66" s="124"/>
      <c r="K66" s="124"/>
      <c r="L66" s="129">
        <f>IFERROR((($E66*$I66)+($E66*$J66*0.8)+($E66*$K66*0.9)),0)</f>
        <v>0</v>
      </c>
      <c r="M66" s="129">
        <f>IFERROR((($F66*$I66)+($F66*$J66*0.8)+($F66*$K66*0.9)),0)</f>
        <v>0</v>
      </c>
      <c r="N66" s="129">
        <f>IFERROR($M66-$L66,0)</f>
        <v>0</v>
      </c>
    </row>
    <row r="67" spans="1:14" s="75" customFormat="1" ht="15">
      <c r="A67" s="122"/>
      <c r="B67" s="123"/>
      <c r="C67" s="126"/>
      <c r="D67" s="127"/>
      <c r="E67" s="127">
        <f>ROUND($D67*$B$9*$B$10,2)</f>
        <v>0</v>
      </c>
      <c r="F67" s="127"/>
      <c r="G67" s="128">
        <f>IFERROR(($F67/$E67)-1,0)</f>
        <v>0</v>
      </c>
      <c r="H67" s="128">
        <f>IFERROR(($F67/$D67)-1,0)</f>
        <v>0</v>
      </c>
      <c r="I67" s="124"/>
      <c r="J67" s="124"/>
      <c r="K67" s="124"/>
      <c r="L67" s="129">
        <f>IFERROR((($E67*$I67)+($E67*$J67*0.8)+($E67*$K67*0.9)),0)</f>
        <v>0</v>
      </c>
      <c r="M67" s="129">
        <f>IFERROR((($F67*$I67)+($F67*$J67*0.8)+($F67*$K67*0.9)),0)</f>
        <v>0</v>
      </c>
      <c r="N67" s="129">
        <f>IFERROR($M67-$L67,0)</f>
        <v>0</v>
      </c>
    </row>
    <row r="68" spans="1:14" s="75" customFormat="1" ht="15">
      <c r="A68" s="122"/>
      <c r="B68" s="123"/>
      <c r="C68" s="126"/>
      <c r="D68" s="127"/>
      <c r="E68" s="127">
        <f>ROUND($D68*$B$9*$B$10,2)</f>
        <v>0</v>
      </c>
      <c r="F68" s="127"/>
      <c r="G68" s="128">
        <f>IFERROR(($F68/$E68)-1,0)</f>
        <v>0</v>
      </c>
      <c r="H68" s="128">
        <f>IFERROR(($F68/$D68)-1,0)</f>
        <v>0</v>
      </c>
      <c r="I68" s="124"/>
      <c r="J68" s="124"/>
      <c r="K68" s="124"/>
      <c r="L68" s="129">
        <f>IFERROR((($E68*$I68)+($E68*$J68*0.8)+($E68*$K68*0.9)),0)</f>
        <v>0</v>
      </c>
      <c r="M68" s="129">
        <f>IFERROR((($F68*$I68)+($F68*$J68*0.8)+($F68*$K68*0.9)),0)</f>
        <v>0</v>
      </c>
      <c r="N68" s="129">
        <f>IFERROR($M68-$L68,0)</f>
        <v>0</v>
      </c>
    </row>
    <row r="69" spans="1:14" s="75" customFormat="1" ht="30">
      <c r="A69" s="122"/>
      <c r="B69" s="21" t="s">
        <v>59</v>
      </c>
      <c r="C69" s="21" t="s">
        <v>60</v>
      </c>
      <c r="D69" s="127"/>
      <c r="E69" s="127"/>
      <c r="F69" s="127"/>
      <c r="G69" s="128"/>
      <c r="H69" s="128"/>
      <c r="I69" s="124"/>
      <c r="J69" s="124"/>
      <c r="K69" s="124"/>
      <c r="L69" s="125"/>
      <c r="M69" s="125"/>
      <c r="N69" s="125"/>
    </row>
    <row r="70" spans="1:14" s="75" customFormat="1" ht="15">
      <c r="A70" s="122" t="s">
        <v>62</v>
      </c>
      <c r="B70" s="123" t="s">
        <v>71</v>
      </c>
      <c r="C70" s="126" t="s">
        <v>60</v>
      </c>
      <c r="D70" s="127">
        <v>40</v>
      </c>
      <c r="E70" s="127">
        <f>ROUND($D70*$B$9*$B$10,2)</f>
        <v>48</v>
      </c>
      <c r="F70" s="127">
        <v>51.20</v>
      </c>
      <c r="G70" s="128">
        <f>IFERROR(($F70/$E70)-1,0)</f>
        <v>0.06666666666666665</v>
      </c>
      <c r="H70" s="128">
        <f>IFERROR(($F70/$D70)-1,0)</f>
        <v>0.28</v>
      </c>
      <c r="I70" s="124">
        <v>100</v>
      </c>
      <c r="J70" s="124">
        <v>10</v>
      </c>
      <c r="K70" s="124">
        <v>5</v>
      </c>
      <c r="L70" s="129">
        <f>IFERROR((($E70*$I70)+($E70*$J70*0.8)+($E70*$K70*0.9)),0)</f>
        <v>5400</v>
      </c>
      <c r="M70" s="129">
        <f>IFERROR((($F70*$I70)+($F70*$J70*0.8)+($F70*$K70*0.9)),0)</f>
        <v>5760</v>
      </c>
      <c r="N70" s="129">
        <f>IFERROR($M70-$L70,0)</f>
        <v>360</v>
      </c>
    </row>
    <row r="71" spans="1:14" s="75" customFormat="1" ht="15">
      <c r="A71" s="122"/>
      <c r="B71" s="123"/>
      <c r="C71" s="126"/>
      <c r="D71" s="127"/>
      <c r="E71" s="127">
        <f t="shared" si="41" ref="E71:E74">ROUND($D71*$B$9*$B$10,2)</f>
        <v>0</v>
      </c>
      <c r="F71" s="127"/>
      <c r="G71" s="128">
        <f>IFERROR(($F71/$E71)-1,0)</f>
        <v>0</v>
      </c>
      <c r="H71" s="128">
        <f t="shared" si="42" ref="H71:H74">IFERROR(($F71/$D71)-1,0)</f>
        <v>0</v>
      </c>
      <c r="I71" s="124"/>
      <c r="J71" s="124"/>
      <c r="K71" s="124"/>
      <c r="L71" s="129">
        <f t="shared" si="43" ref="L71:L74">IFERROR((($E71*$I71)+($E71*$J71*0.8)+($E71*$K71*0.9)),0)</f>
        <v>0</v>
      </c>
      <c r="M71" s="129">
        <f t="shared" si="44" ref="M71:M74">IFERROR((($F71*$I71)+($F71*$J71*0.8)+($F71*$K71*0.9)),0)</f>
        <v>0</v>
      </c>
      <c r="N71" s="129">
        <f>IFERROR($M71-$L71,0)</f>
        <v>0</v>
      </c>
    </row>
    <row r="72" spans="1:14" s="75" customFormat="1" ht="15">
      <c r="A72" s="122"/>
      <c r="B72" s="123"/>
      <c r="C72" s="126"/>
      <c r="D72" s="127"/>
      <c r="E72" s="127">
        <f>ROUND($D72*$B$9*$B$10,2)</f>
        <v>0</v>
      </c>
      <c r="F72" s="127"/>
      <c r="G72" s="128">
        <f t="shared" si="45" ref="G72:G74">IFERROR(($F72/$E72)-1,0)</f>
        <v>0</v>
      </c>
      <c r="H72" s="128">
        <f>IFERROR(($F72/$D72)-1,0)</f>
        <v>0</v>
      </c>
      <c r="I72" s="124"/>
      <c r="J72" s="124"/>
      <c r="K72" s="124"/>
      <c r="L72" s="129">
        <f>IFERROR((($E72*$I72)+($E72*$J72*0.8)+($E72*$K72*0.9)),0)</f>
        <v>0</v>
      </c>
      <c r="M72" s="129">
        <f>IFERROR((($F72*$I72)+($F72*$J72*0.8)+($F72*$K72*0.9)),0)</f>
        <v>0</v>
      </c>
      <c r="N72" s="129">
        <f>IFERROR($M72-$L72,0)</f>
        <v>0</v>
      </c>
    </row>
    <row r="73" spans="1:14" s="75" customFormat="1" ht="15">
      <c r="A73" s="122"/>
      <c r="B73" s="123"/>
      <c r="C73" s="126"/>
      <c r="D73" s="127"/>
      <c r="E73" s="127">
        <f>ROUND($D73*$B$9*$B$10,2)</f>
        <v>0</v>
      </c>
      <c r="F73" s="127"/>
      <c r="G73" s="128">
        <f>IFERROR(($F73/$E73)-1,0)</f>
        <v>0</v>
      </c>
      <c r="H73" s="128">
        <f>IFERROR(($F73/$D73)-1,0)</f>
        <v>0</v>
      </c>
      <c r="I73" s="124"/>
      <c r="J73" s="124"/>
      <c r="K73" s="124"/>
      <c r="L73" s="129">
        <f>IFERROR((($E73*$I73)+($E73*$J73*0.8)+($E73*$K73*0.9)),0)</f>
        <v>0</v>
      </c>
      <c r="M73" s="129">
        <f>IFERROR((($F73*$I73)+($F73*$J73*0.8)+($F73*$K73*0.9)),0)</f>
        <v>0</v>
      </c>
      <c r="N73" s="129">
        <f>IFERROR($M73-$L73,0)</f>
        <v>0</v>
      </c>
    </row>
    <row r="74" spans="1:14" s="75" customFormat="1" ht="15">
      <c r="A74" s="122"/>
      <c r="B74" s="123"/>
      <c r="C74" s="126"/>
      <c r="D74" s="127"/>
      <c r="E74" s="127">
        <f>ROUND($D74*$B$9*$B$10,2)</f>
        <v>0</v>
      </c>
      <c r="F74" s="127"/>
      <c r="G74" s="128">
        <f>IFERROR(($F74/$E74)-1,0)</f>
        <v>0</v>
      </c>
      <c r="H74" s="128">
        <f>IFERROR(($F74/$D74)-1,0)</f>
        <v>0</v>
      </c>
      <c r="I74" s="124"/>
      <c r="J74" s="124"/>
      <c r="K74" s="124"/>
      <c r="L74" s="129">
        <f>IFERROR((($E74*$I74)+($E74*$J74*0.8)+($E74*$K74*0.9)),0)</f>
        <v>0</v>
      </c>
      <c r="M74" s="129">
        <f>IFERROR((($F74*$I74)+($F74*$J74*0.8)+($F74*$K74*0.9)),0)</f>
        <v>0</v>
      </c>
      <c r="N74" s="129">
        <f>IFERROR($M74-$L74,0)</f>
        <v>0</v>
      </c>
    </row>
    <row r="75" spans="1:14" s="75" customFormat="1" ht="30">
      <c r="A75" s="122"/>
      <c r="B75" s="21" t="s">
        <v>78</v>
      </c>
      <c r="C75" s="21" t="s">
        <v>80</v>
      </c>
      <c r="D75" s="127"/>
      <c r="E75" s="127"/>
      <c r="F75" s="127"/>
      <c r="G75" s="128"/>
      <c r="H75" s="128"/>
      <c r="I75" s="124"/>
      <c r="J75" s="124"/>
      <c r="K75" s="124"/>
      <c r="L75" s="125"/>
      <c r="M75" s="125"/>
      <c r="N75" s="125"/>
    </row>
    <row r="76" spans="1:14" s="75" customFormat="1" ht="15">
      <c r="A76" s="122" t="s">
        <v>62</v>
      </c>
      <c r="B76" s="123" t="s">
        <v>79</v>
      </c>
      <c r="C76" s="126" t="s">
        <v>80</v>
      </c>
      <c r="D76" s="127">
        <v>40</v>
      </c>
      <c r="E76" s="127">
        <f>ROUND($D76*$B$9*$B$10,2)</f>
        <v>48</v>
      </c>
      <c r="F76" s="127">
        <v>51.20</v>
      </c>
      <c r="G76" s="128">
        <f>IFERROR(($F76/$E76)-1,0)</f>
        <v>0.06666666666666665</v>
      </c>
      <c r="H76" s="128">
        <f>IFERROR(($F76/$D76)-1,0)</f>
        <v>0.28</v>
      </c>
      <c r="I76" s="124">
        <v>100</v>
      </c>
      <c r="J76" s="124">
        <v>10</v>
      </c>
      <c r="K76" s="124">
        <v>5</v>
      </c>
      <c r="L76" s="129">
        <f>IFERROR((($E76*$I76)+($E76*$J76*0.8)+($E76*$K76*0.9)),0)</f>
        <v>5400</v>
      </c>
      <c r="M76" s="129">
        <f>IFERROR((($F76*$I76)+($F76*$J76*0.8)+($F76*$K76*0.9)),0)</f>
        <v>5760</v>
      </c>
      <c r="N76" s="129">
        <f>IFERROR($M76-$L76,0)</f>
        <v>360</v>
      </c>
    </row>
    <row r="77" spans="1:14" s="75" customFormat="1" ht="15">
      <c r="A77" s="122"/>
      <c r="B77" s="123"/>
      <c r="C77" s="126"/>
      <c r="D77" s="127"/>
      <c r="E77" s="127">
        <f t="shared" si="46" ref="E77:E80">ROUND($D77*$B$9*$B$10,2)</f>
        <v>0</v>
      </c>
      <c r="F77" s="127"/>
      <c r="G77" s="128">
        <f>IFERROR(($F77/$E77)-1,0)</f>
        <v>0</v>
      </c>
      <c r="H77" s="128">
        <f t="shared" si="47" ref="H77:H80">IFERROR(($F77/$D77)-1,0)</f>
        <v>0</v>
      </c>
      <c r="I77" s="124"/>
      <c r="J77" s="124"/>
      <c r="K77" s="124"/>
      <c r="L77" s="129">
        <f t="shared" si="48" ref="L77:L80">IFERROR((($E77*$I77)+($E77*$J77*0.8)+($E77*$K77*0.9)),0)</f>
        <v>0</v>
      </c>
      <c r="M77" s="129">
        <f t="shared" si="49" ref="M77:M80">IFERROR((($F77*$I77)+($F77*$J77*0.8)+($F77*$K77*0.9)),0)</f>
        <v>0</v>
      </c>
      <c r="N77" s="129">
        <f>IFERROR($M77-$L77,0)</f>
        <v>0</v>
      </c>
    </row>
    <row r="78" spans="1:16" s="101" customFormat="1" ht="15">
      <c r="A78" s="122"/>
      <c r="B78" s="123"/>
      <c r="C78" s="126"/>
      <c r="D78" s="127"/>
      <c r="E78" s="127">
        <f>ROUND($D78*$B$9*$B$10,2)</f>
        <v>0</v>
      </c>
      <c r="F78" s="127"/>
      <c r="G78" s="128">
        <f t="shared" si="50" ref="G78:G80">IFERROR(($F78/$E78)-1,0)</f>
        <v>0</v>
      </c>
      <c r="H78" s="128">
        <f>IFERROR(($F78/$D78)-1,0)</f>
        <v>0</v>
      </c>
      <c r="I78" s="124"/>
      <c r="J78" s="124"/>
      <c r="K78" s="124"/>
      <c r="L78" s="129">
        <f>IFERROR((($E78*$I78)+($E78*$J78*0.8)+($E78*$K78*0.9)),0)</f>
        <v>0</v>
      </c>
      <c r="M78" s="129">
        <f>IFERROR((($F78*$I78)+($F78*$J78*0.8)+($F78*$K78*0.9)),0)</f>
        <v>0</v>
      </c>
      <c r="N78" s="129">
        <f>IFERROR($M78-$L78,0)</f>
        <v>0</v>
      </c>
      <c r="O78" s="131"/>
      <c r="P78" s="131"/>
    </row>
    <row r="79" spans="1:16" s="101" customFormat="1" ht="15">
      <c r="A79" s="122"/>
      <c r="B79" s="123"/>
      <c r="C79" s="126"/>
      <c r="D79" s="127"/>
      <c r="E79" s="127">
        <f>ROUND($D79*$B$9*$B$10,2)</f>
        <v>0</v>
      </c>
      <c r="F79" s="127"/>
      <c r="G79" s="128">
        <f>IFERROR(($F79/$E79)-1,0)</f>
        <v>0</v>
      </c>
      <c r="H79" s="128">
        <f>IFERROR(($F79/$D79)-1,0)</f>
        <v>0</v>
      </c>
      <c r="I79" s="124"/>
      <c r="J79" s="124"/>
      <c r="K79" s="124"/>
      <c r="L79" s="129">
        <f>IFERROR((($E79*$I79)+($E79*$J79*0.8)+($E79*$K79*0.9)),0)</f>
        <v>0</v>
      </c>
      <c r="M79" s="129">
        <f>IFERROR((($F79*$I79)+($F79*$J79*0.8)+($F79*$K79*0.9)),0)</f>
        <v>0</v>
      </c>
      <c r="N79" s="129">
        <f>IFERROR($M79-$L79,0)</f>
        <v>0</v>
      </c>
      <c r="O79" s="131"/>
      <c r="P79" s="131"/>
    </row>
    <row r="80" spans="1:16" s="101" customFormat="1" ht="15">
      <c r="A80" s="122"/>
      <c r="B80" s="123"/>
      <c r="C80" s="126"/>
      <c r="D80" s="127"/>
      <c r="E80" s="127">
        <f>ROUND($D80*$B$9*$B$10,2)</f>
        <v>0</v>
      </c>
      <c r="F80" s="127"/>
      <c r="G80" s="128">
        <f>IFERROR(($F80/$E80)-1,0)</f>
        <v>0</v>
      </c>
      <c r="H80" s="128">
        <f>IFERROR(($F80/$D80)-1,0)</f>
        <v>0</v>
      </c>
      <c r="I80" s="124"/>
      <c r="J80" s="124"/>
      <c r="K80" s="124"/>
      <c r="L80" s="129">
        <f>IFERROR((($E80*$I80)+($E80*$J80*0.8)+($E80*$K80*0.9)),0)</f>
        <v>0</v>
      </c>
      <c r="M80" s="129">
        <f>IFERROR((($F80*$I80)+($F80*$J80*0.8)+($F80*$K80*0.9)),0)</f>
        <v>0</v>
      </c>
      <c r="N80" s="129">
        <f>IFERROR($M80-$L80,0)</f>
        <v>0</v>
      </c>
      <c r="O80" s="131"/>
      <c r="P80" s="131"/>
    </row>
    <row r="81" spans="1:16" s="101" customFormat="1" ht="15">
      <c r="A81" s="232"/>
      <c r="B81" s="75"/>
      <c r="C81" s="108"/>
      <c r="D81" s="233"/>
      <c r="E81" s="233"/>
      <c r="F81" s="233"/>
      <c r="G81" s="234"/>
      <c r="H81" s="234"/>
      <c r="I81" s="235"/>
      <c r="J81" s="235"/>
      <c r="K81" s="235"/>
      <c r="L81" s="236"/>
      <c r="M81" s="236"/>
      <c r="N81" s="236"/>
      <c r="O81" s="131"/>
      <c r="P81" s="131"/>
    </row>
    <row r="82" spans="1:16" s="101" customFormat="1" ht="15">
      <c r="A82" s="232"/>
      <c r="B82" s="75"/>
      <c r="C82" s="108"/>
      <c r="D82" s="233"/>
      <c r="E82" s="233"/>
      <c r="F82" s="233"/>
      <c r="G82" s="234"/>
      <c r="H82" s="234"/>
      <c r="I82" s="235"/>
      <c r="J82" s="235"/>
      <c r="K82" s="235"/>
      <c r="L82" s="236"/>
      <c r="M82" s="236"/>
      <c r="N82" s="236"/>
      <c r="O82" s="131"/>
      <c r="P82" s="131"/>
    </row>
    <row r="83" spans="13:16" ht="15.75" thickBot="1">
      <c r="M83" s="100"/>
      <c r="N83" s="100"/>
      <c r="O83" s="100"/>
      <c r="P83" s="100"/>
    </row>
    <row r="84" spans="1:16" ht="14.45" customHeight="1">
      <c r="A84" s="307" t="s">
        <v>26</v>
      </c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9"/>
      <c r="M84" s="97"/>
      <c r="N84" s="97"/>
      <c r="O84" s="97"/>
      <c r="P84" s="97"/>
    </row>
    <row r="85" spans="1:16" ht="14.45" customHeight="1" thickBot="1">
      <c r="A85" s="310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2"/>
      <c r="M85" s="97"/>
      <c r="N85" s="97"/>
      <c r="O85" s="97"/>
      <c r="P85" s="97"/>
    </row>
    <row r="86" spans="1:16" s="101" customFormat="1" ht="14.4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4:13" ht="15.75">
      <c r="D87" s="133"/>
      <c r="E87" s="133"/>
      <c r="F87" s="133"/>
      <c r="G87" s="133"/>
      <c r="H87" s="109"/>
      <c r="I87" s="134"/>
      <c r="J87" s="306" t="s">
        <v>21</v>
      </c>
      <c r="K87" s="306"/>
      <c r="L87" s="306"/>
      <c r="M87" s="111"/>
    </row>
    <row r="88" spans="1:15" ht="92.45" customHeight="1">
      <c r="A88" s="112" t="s">
        <v>29</v>
      </c>
      <c r="B88" s="112" t="s">
        <v>23</v>
      </c>
      <c r="C88" s="113" t="s">
        <v>4</v>
      </c>
      <c r="D88" s="114" t="s">
        <v>94</v>
      </c>
      <c r="E88" s="114" t="s">
        <v>95</v>
      </c>
      <c r="F88" s="114" t="s">
        <v>96</v>
      </c>
      <c r="G88" s="114" t="s">
        <v>97</v>
      </c>
      <c r="H88" s="114" t="s">
        <v>98</v>
      </c>
      <c r="I88" s="115" t="s">
        <v>107</v>
      </c>
      <c r="J88" s="117" t="s">
        <v>102</v>
      </c>
      <c r="K88" s="117" t="s">
        <v>36</v>
      </c>
      <c r="L88" s="114" t="s">
        <v>108</v>
      </c>
      <c r="M88" s="78"/>
      <c r="N88" s="78"/>
      <c r="O88" s="78"/>
    </row>
    <row r="89" spans="1:15" ht="15">
      <c r="A89" s="135"/>
      <c r="B89" s="136"/>
      <c r="C89" s="137" t="str">
        <f>"Col "&amp;COLUMN(C89)+36</f>
        <v>Col 39</v>
      </c>
      <c r="D89" s="137" t="str">
        <f t="shared" si="51" ref="D89:L89">"Col "&amp;COLUMN(D89)+36</f>
        <v>Col 40</v>
      </c>
      <c r="E89" s="137" t="str">
        <f>"Col "&amp;COLUMN(E89)+36</f>
        <v>Col 41</v>
      </c>
      <c r="F89" s="137" t="str">
        <f>"Col "&amp;COLUMN(F89)+36</f>
        <v>Col 42</v>
      </c>
      <c r="G89" s="137" t="str">
        <f>"Col "&amp;COLUMN(G89)+36</f>
        <v>Col 43</v>
      </c>
      <c r="H89" s="137" t="str">
        <f>"Col "&amp;COLUMN(H89)+36</f>
        <v>Col 44</v>
      </c>
      <c r="I89" s="137" t="str">
        <f>"Col "&amp;COLUMN(I89)+36</f>
        <v>Col 45</v>
      </c>
      <c r="J89" s="137" t="str">
        <f>"Col "&amp;COLUMN(J89)+36</f>
        <v>Col 46</v>
      </c>
      <c r="K89" s="137" t="str">
        <f>"Col "&amp;COLUMN(K89)+36</f>
        <v>Col 47</v>
      </c>
      <c r="L89" s="137" t="str">
        <f>"Col "&amp;COLUMN(L89)+36</f>
        <v>Col 48</v>
      </c>
      <c r="M89" s="78"/>
      <c r="N89" s="78"/>
      <c r="O89" s="78"/>
    </row>
    <row r="90" spans="1:15" ht="120">
      <c r="A90" s="112" t="s">
        <v>6</v>
      </c>
      <c r="B90" s="112" t="s">
        <v>6</v>
      </c>
      <c r="C90" s="138" t="s">
        <v>6</v>
      </c>
      <c r="D90" s="114" t="s">
        <v>6</v>
      </c>
      <c r="E90" s="114" t="str">
        <f>D89&amp;" X Category Relationship Unfreeze Factor X Net Contributor or Net Recipient Factor"</f>
        <v>Col 40 X Category Relationship Unfreeze Factor X Net Contributor or Net Recipient Factor</v>
      </c>
      <c r="F90" s="114" t="s">
        <v>6</v>
      </c>
      <c r="G90" s="114" t="str">
        <f>"("&amp;F89&amp;" / "&amp;E89&amp;") - 1"</f>
        <v>(Col 42 / Col 41) - 1</v>
      </c>
      <c r="H90" s="114" t="str">
        <f>"("&amp;F89&amp;" / "&amp;D89&amp;") - 1"</f>
        <v>(Col 42 / Col 40) - 1</v>
      </c>
      <c r="I90" s="114" t="s">
        <v>6</v>
      </c>
      <c r="J90" s="139" t="str">
        <f>E89&amp;" X "&amp;I89</f>
        <v>Col 41 X Col 45</v>
      </c>
      <c r="K90" s="139" t="str">
        <f>F89&amp;" X "&amp;I89</f>
        <v>Col 42 X Col 45</v>
      </c>
      <c r="L90" s="140" t="str">
        <f>K89&amp;" - "&amp;J89</f>
        <v>Col 47 - Col 46</v>
      </c>
      <c r="M90" s="75"/>
      <c r="N90" s="75"/>
      <c r="O90" s="75"/>
    </row>
    <row r="91" spans="1:15" ht="15">
      <c r="A91" s="122"/>
      <c r="B91" s="21" t="s">
        <v>48</v>
      </c>
      <c r="C91" s="21" t="s">
        <v>42</v>
      </c>
      <c r="D91" s="141"/>
      <c r="E91" s="141"/>
      <c r="F91" s="141"/>
      <c r="G91" s="141"/>
      <c r="H91" s="141"/>
      <c r="I91" s="142"/>
      <c r="J91" s="143"/>
      <c r="K91" s="143"/>
      <c r="L91" s="143"/>
      <c r="M91" s="77"/>
      <c r="N91" s="77"/>
      <c r="O91" s="77"/>
    </row>
    <row r="92" spans="1:12" s="101" customFormat="1" ht="15">
      <c r="A92" s="122" t="s">
        <v>62</v>
      </c>
      <c r="B92" s="123" t="s">
        <v>63</v>
      </c>
      <c r="C92" s="126" t="s">
        <v>42</v>
      </c>
      <c r="D92" s="127">
        <v>300</v>
      </c>
      <c r="E92" s="127">
        <f>ROUND($D92*$B$9*$B$10,2)</f>
        <v>360</v>
      </c>
      <c r="F92" s="127">
        <v>384</v>
      </c>
      <c r="G92" s="144">
        <f>IFERROR(($F92/$E92)-1,0)</f>
        <v>0.06666666666666665</v>
      </c>
      <c r="H92" s="144">
        <f>IFERROR((F92/D92)-1,0)</f>
        <v>0.28</v>
      </c>
      <c r="I92" s="145">
        <v>100</v>
      </c>
      <c r="J92" s="146">
        <f>IFERROR($E92*$I92,0)</f>
        <v>36000</v>
      </c>
      <c r="K92" s="146">
        <f>IFERROR($F92*$I92,0)</f>
        <v>38400</v>
      </c>
      <c r="L92" s="146">
        <f>IFERROR(K92-J92,0)</f>
        <v>2400</v>
      </c>
    </row>
    <row r="93" spans="1:12" s="101" customFormat="1" ht="15">
      <c r="A93" s="122"/>
      <c r="B93" s="123"/>
      <c r="C93" s="126"/>
      <c r="D93" s="147"/>
      <c r="E93" s="127">
        <f t="shared" si="52" ref="E93:E96">ROUND($D93*$B$9*$B$10,2)</f>
        <v>0</v>
      </c>
      <c r="F93" s="147"/>
      <c r="G93" s="144">
        <f t="shared" si="53" ref="G93:G96">IFERROR(($F93/$E93)-1,0)</f>
        <v>0</v>
      </c>
      <c r="H93" s="144">
        <f t="shared" si="54" ref="H93:H96">IFERROR((F93/D93)-1,0)</f>
        <v>0</v>
      </c>
      <c r="I93" s="145"/>
      <c r="J93" s="146">
        <f t="shared" si="55" ref="J93:J96">IFERROR($E93*$I93,0)</f>
        <v>0</v>
      </c>
      <c r="K93" s="146">
        <f t="shared" si="56" ref="K93:K96">IFERROR($F93*$I93,0)</f>
        <v>0</v>
      </c>
      <c r="L93" s="146">
        <f t="shared" si="57" ref="L93:L96">IFERROR(K93-J93,0)</f>
        <v>0</v>
      </c>
    </row>
    <row r="94" spans="1:12" s="101" customFormat="1" ht="15">
      <c r="A94" s="122"/>
      <c r="B94" s="123"/>
      <c r="C94" s="126"/>
      <c r="D94" s="148"/>
      <c r="E94" s="127">
        <f>ROUND($D94*$B$9*$B$10,2)</f>
        <v>0</v>
      </c>
      <c r="F94" s="148"/>
      <c r="G94" s="144">
        <f>IFERROR(($F94/$E94)-1,0)</f>
        <v>0</v>
      </c>
      <c r="H94" s="144">
        <f>IFERROR((F94/D94)-1,0)</f>
        <v>0</v>
      </c>
      <c r="I94" s="145"/>
      <c r="J94" s="146">
        <f>IFERROR($E94*$I94,0)</f>
        <v>0</v>
      </c>
      <c r="K94" s="146">
        <f>IFERROR($F94*$I94,0)</f>
        <v>0</v>
      </c>
      <c r="L94" s="146">
        <f>IFERROR(K94-J94,0)</f>
        <v>0</v>
      </c>
    </row>
    <row r="95" spans="1:12" s="101" customFormat="1" ht="15">
      <c r="A95" s="122"/>
      <c r="B95" s="123"/>
      <c r="C95" s="126"/>
      <c r="D95" s="147"/>
      <c r="E95" s="127">
        <f>ROUND($D95*$B$9*$B$10,2)</f>
        <v>0</v>
      </c>
      <c r="F95" s="147"/>
      <c r="G95" s="144">
        <f>IFERROR(($F95/$E95)-1,0)</f>
        <v>0</v>
      </c>
      <c r="H95" s="144">
        <f>IFERROR((F95/D95)-1,0)</f>
        <v>0</v>
      </c>
      <c r="I95" s="145"/>
      <c r="J95" s="146">
        <f>IFERROR($E95*$I95,0)</f>
        <v>0</v>
      </c>
      <c r="K95" s="146">
        <f>IFERROR($F95*$I95,0)</f>
        <v>0</v>
      </c>
      <c r="L95" s="146">
        <f>IFERROR(K95-J95,0)</f>
        <v>0</v>
      </c>
    </row>
    <row r="96" spans="1:15" ht="15">
      <c r="A96" s="122"/>
      <c r="B96" s="123"/>
      <c r="C96" s="126"/>
      <c r="D96" s="147"/>
      <c r="E96" s="127">
        <f>ROUND($D96*$B$9*$B$10,2)</f>
        <v>0</v>
      </c>
      <c r="F96" s="147"/>
      <c r="G96" s="144">
        <f>IFERROR(($F96/$E96)-1,0)</f>
        <v>0</v>
      </c>
      <c r="H96" s="144">
        <f>IFERROR((F96/D96)-1,0)</f>
        <v>0</v>
      </c>
      <c r="I96" s="149"/>
      <c r="J96" s="146">
        <f>IFERROR($E96*$I96,0)</f>
        <v>0</v>
      </c>
      <c r="K96" s="146">
        <f>IFERROR($F96*$I96,0)</f>
        <v>0</v>
      </c>
      <c r="L96" s="146">
        <f>IFERROR(K96-J96,0)</f>
        <v>0</v>
      </c>
      <c r="M96" s="131"/>
      <c r="N96" s="131"/>
      <c r="O96" s="131"/>
    </row>
    <row r="97" spans="1:13" ht="15">
      <c r="A97" s="122"/>
      <c r="B97" s="21" t="s">
        <v>47</v>
      </c>
      <c r="C97" s="21" t="s">
        <v>43</v>
      </c>
      <c r="D97" s="147"/>
      <c r="E97" s="147"/>
      <c r="F97" s="147"/>
      <c r="G97" s="147"/>
      <c r="H97" s="147"/>
      <c r="I97" s="149"/>
      <c r="J97" s="149"/>
      <c r="K97" s="150"/>
      <c r="L97" s="151"/>
      <c r="M97" s="40"/>
    </row>
    <row r="98" spans="1:13" ht="15">
      <c r="A98" s="122" t="s">
        <v>62</v>
      </c>
      <c r="B98" s="123" t="s">
        <v>64</v>
      </c>
      <c r="C98" s="126" t="s">
        <v>43</v>
      </c>
      <c r="D98" s="127">
        <v>325</v>
      </c>
      <c r="E98" s="127">
        <f>ROUND($D98*$B$9*$B$10,2)</f>
        <v>390</v>
      </c>
      <c r="F98" s="127">
        <v>416</v>
      </c>
      <c r="G98" s="144">
        <f>IFERROR(($F98/$E98)-1,0)</f>
        <v>0.06666666666666665</v>
      </c>
      <c r="H98" s="144">
        <f>IFERROR((F98/D98)-1,0)</f>
        <v>0.28</v>
      </c>
      <c r="I98" s="145">
        <v>90</v>
      </c>
      <c r="J98" s="146">
        <f>IFERROR($E98*$I98,0)</f>
        <v>35100</v>
      </c>
      <c r="K98" s="146">
        <f>IFERROR($F98*$I98,0)</f>
        <v>37440</v>
      </c>
      <c r="L98" s="146">
        <f>IFERROR(K98-J98,0)</f>
        <v>2340</v>
      </c>
      <c r="M98" s="40"/>
    </row>
    <row r="99" spans="1:13" ht="15">
      <c r="A99" s="122"/>
      <c r="B99" s="123"/>
      <c r="C99" s="126"/>
      <c r="D99" s="147"/>
      <c r="E99" s="127">
        <f t="shared" si="58" ref="E99:E102">ROUND($D99*$B$9*$B$10,2)</f>
        <v>0</v>
      </c>
      <c r="F99" s="147"/>
      <c r="G99" s="144">
        <f>IFERROR(($F99/$E99)-1,0)</f>
        <v>0</v>
      </c>
      <c r="H99" s="144">
        <f t="shared" si="59" ref="H99:H102">IFERROR((F99/D99)-1,0)</f>
        <v>0</v>
      </c>
      <c r="I99" s="145"/>
      <c r="J99" s="146">
        <f>IFERROR($E99*$I99,0)</f>
        <v>0</v>
      </c>
      <c r="K99" s="146">
        <f>IFERROR($F99*$I99,0)</f>
        <v>0</v>
      </c>
      <c r="L99" s="146">
        <f t="shared" si="60" ref="L99:L102">IFERROR(K99-J99,0)</f>
        <v>0</v>
      </c>
      <c r="M99" s="40"/>
    </row>
    <row r="100" spans="1:13" ht="15">
      <c r="A100" s="122"/>
      <c r="B100" s="123"/>
      <c r="C100" s="126"/>
      <c r="D100" s="148"/>
      <c r="E100" s="127">
        <f>ROUND($D100*$B$9*$B$10,2)</f>
        <v>0</v>
      </c>
      <c r="F100" s="148"/>
      <c r="G100" s="144">
        <f>IFERROR(($F100/$E100)-1,0)</f>
        <v>0</v>
      </c>
      <c r="H100" s="144">
        <f>IFERROR((F100/D100)-1,0)</f>
        <v>0</v>
      </c>
      <c r="I100" s="145"/>
      <c r="J100" s="146">
        <f>IFERROR($E100*$I100,0)</f>
        <v>0</v>
      </c>
      <c r="K100" s="146">
        <f>IFERROR($F100*$I100,0)</f>
        <v>0</v>
      </c>
      <c r="L100" s="146">
        <f>IFERROR(K100-J100,0)</f>
        <v>0</v>
      </c>
      <c r="M100" s="40"/>
    </row>
    <row r="101" spans="1:12" ht="15">
      <c r="A101" s="122"/>
      <c r="B101" s="123"/>
      <c r="C101" s="126"/>
      <c r="D101" s="147"/>
      <c r="E101" s="127">
        <f>ROUND($D101*$B$9*$B$10,2)</f>
        <v>0</v>
      </c>
      <c r="F101" s="147"/>
      <c r="G101" s="144">
        <f>IFERROR(($F101/$E101)-1,0)</f>
        <v>0</v>
      </c>
      <c r="H101" s="144">
        <f>IFERROR((F101/D101)-1,0)</f>
        <v>0</v>
      </c>
      <c r="I101" s="145"/>
      <c r="J101" s="146">
        <f>IFERROR($E101*$I101,0)</f>
        <v>0</v>
      </c>
      <c r="K101" s="146">
        <f>IFERROR($F101*$I101,0)</f>
        <v>0</v>
      </c>
      <c r="L101" s="146">
        <f>IFERROR(K101-J101,0)</f>
        <v>0</v>
      </c>
    </row>
    <row r="102" spans="1:12" ht="15">
      <c r="A102" s="122"/>
      <c r="B102" s="123"/>
      <c r="C102" s="126"/>
      <c r="D102" s="147"/>
      <c r="E102" s="127">
        <f>ROUND($D102*$B$9*$B$10,2)</f>
        <v>0</v>
      </c>
      <c r="F102" s="147"/>
      <c r="G102" s="144">
        <f>IFERROR(($F102/$E102)-1,0)</f>
        <v>0</v>
      </c>
      <c r="H102" s="144">
        <f>IFERROR((F102/D102)-1,0)</f>
        <v>0</v>
      </c>
      <c r="I102" s="149"/>
      <c r="J102" s="146">
        <f>IFERROR($E102*$I102,0)</f>
        <v>0</v>
      </c>
      <c r="K102" s="146">
        <f>IFERROR($F102*$I102,0)</f>
        <v>0</v>
      </c>
      <c r="L102" s="146">
        <f>IFERROR(K102-J102,0)</f>
        <v>0</v>
      </c>
    </row>
    <row r="103" spans="1:12" ht="15">
      <c r="A103" s="122"/>
      <c r="B103" s="21" t="s">
        <v>46</v>
      </c>
      <c r="C103" s="21" t="s">
        <v>44</v>
      </c>
      <c r="D103" s="147"/>
      <c r="E103" s="147"/>
      <c r="F103" s="147"/>
      <c r="G103" s="147"/>
      <c r="H103" s="147"/>
      <c r="I103" s="149"/>
      <c r="J103" s="149"/>
      <c r="K103" s="150"/>
      <c r="L103" s="151"/>
    </row>
    <row r="104" spans="1:12" ht="15">
      <c r="A104" s="122" t="s">
        <v>62</v>
      </c>
      <c r="B104" s="123" t="s">
        <v>65</v>
      </c>
      <c r="C104" s="126" t="s">
        <v>44</v>
      </c>
      <c r="D104" s="127">
        <v>350</v>
      </c>
      <c r="E104" s="127">
        <f>ROUND($D104*$B$9*$B$10,2)</f>
        <v>420</v>
      </c>
      <c r="F104" s="127">
        <v>448</v>
      </c>
      <c r="G104" s="144">
        <f>IFERROR(($F104/$E104)-1,0)</f>
        <v>0.06666666666666665</v>
      </c>
      <c r="H104" s="144">
        <f>IFERROR((F104/D104)-1,0)</f>
        <v>0.28</v>
      </c>
      <c r="I104" s="145">
        <v>80</v>
      </c>
      <c r="J104" s="146">
        <f>IFERROR($E104*$I104,0)</f>
        <v>33600</v>
      </c>
      <c r="K104" s="146">
        <f>IFERROR($F104*$I104,0)</f>
        <v>35840</v>
      </c>
      <c r="L104" s="146">
        <f>IFERROR(K104-J104,0)</f>
        <v>2240</v>
      </c>
    </row>
    <row r="105" spans="1:12" ht="15">
      <c r="A105" s="122"/>
      <c r="B105" s="123"/>
      <c r="C105" s="126"/>
      <c r="D105" s="147"/>
      <c r="E105" s="127">
        <f t="shared" si="61" ref="E105:E108">ROUND($D105*$B$9*$B$10,2)</f>
        <v>0</v>
      </c>
      <c r="F105" s="147"/>
      <c r="G105" s="144">
        <f>IFERROR(($F105/$E105)-1,0)</f>
        <v>0</v>
      </c>
      <c r="H105" s="144">
        <f t="shared" si="62" ref="H105:H108">IFERROR((F105/D105)-1,0)</f>
        <v>0</v>
      </c>
      <c r="I105" s="145"/>
      <c r="J105" s="146">
        <f>IFERROR($E105*$I105,0)</f>
        <v>0</v>
      </c>
      <c r="K105" s="146">
        <f>IFERROR($F105*$I105,0)</f>
        <v>0</v>
      </c>
      <c r="L105" s="146">
        <f t="shared" si="63" ref="L105:L108">IFERROR(K105-J105,0)</f>
        <v>0</v>
      </c>
    </row>
    <row r="106" spans="1:12" ht="15">
      <c r="A106" s="122"/>
      <c r="B106" s="123"/>
      <c r="C106" s="126"/>
      <c r="D106" s="148"/>
      <c r="E106" s="127">
        <f>ROUND($D106*$B$9*$B$10,2)</f>
        <v>0</v>
      </c>
      <c r="F106" s="148"/>
      <c r="G106" s="144">
        <f>IFERROR(($F106/$E106)-1,0)</f>
        <v>0</v>
      </c>
      <c r="H106" s="144">
        <f>IFERROR((F106/D106)-1,0)</f>
        <v>0</v>
      </c>
      <c r="I106" s="145"/>
      <c r="J106" s="146">
        <f>IFERROR($E106*$I106,0)</f>
        <v>0</v>
      </c>
      <c r="K106" s="146">
        <f>IFERROR($F106*$I106,0)</f>
        <v>0</v>
      </c>
      <c r="L106" s="146">
        <f>IFERROR(K106-J106,0)</f>
        <v>0</v>
      </c>
    </row>
    <row r="107" spans="1:12" ht="15">
      <c r="A107" s="122"/>
      <c r="B107" s="123"/>
      <c r="C107" s="126"/>
      <c r="D107" s="147"/>
      <c r="E107" s="127">
        <f>ROUND($D107*$B$9*$B$10,2)</f>
        <v>0</v>
      </c>
      <c r="F107" s="147"/>
      <c r="G107" s="144">
        <f>IFERROR(($F107/$E107)-1,0)</f>
        <v>0</v>
      </c>
      <c r="H107" s="144">
        <f>IFERROR((F107/D107)-1,0)</f>
        <v>0</v>
      </c>
      <c r="I107" s="145"/>
      <c r="J107" s="146">
        <f>IFERROR($E107*$I107,0)</f>
        <v>0</v>
      </c>
      <c r="K107" s="146">
        <f>IFERROR($F107*$I107,0)</f>
        <v>0</v>
      </c>
      <c r="L107" s="146">
        <f>IFERROR(K107-J107,0)</f>
        <v>0</v>
      </c>
    </row>
    <row r="108" spans="1:12" ht="15">
      <c r="A108" s="122"/>
      <c r="B108" s="123"/>
      <c r="C108" s="126"/>
      <c r="D108" s="147"/>
      <c r="E108" s="127">
        <f>ROUND($D108*$B$9*$B$10,2)</f>
        <v>0</v>
      </c>
      <c r="F108" s="147"/>
      <c r="G108" s="144">
        <f>IFERROR(($F108/$E108)-1,0)</f>
        <v>0</v>
      </c>
      <c r="H108" s="144">
        <f>IFERROR((F108/D108)-1,0)</f>
        <v>0</v>
      </c>
      <c r="I108" s="149"/>
      <c r="J108" s="146">
        <f>IFERROR($E108*$I108,0)</f>
        <v>0</v>
      </c>
      <c r="K108" s="146">
        <f>IFERROR($F108*$I108,0)</f>
        <v>0</v>
      </c>
      <c r="L108" s="146">
        <f>IFERROR(K108-J108,0)</f>
        <v>0</v>
      </c>
    </row>
    <row r="109" spans="1:12" ht="15">
      <c r="A109" s="122"/>
      <c r="B109" s="21" t="s">
        <v>45</v>
      </c>
      <c r="C109" s="21" t="s">
        <v>61</v>
      </c>
      <c r="D109" s="147"/>
      <c r="E109" s="147"/>
      <c r="F109" s="147"/>
      <c r="G109" s="147"/>
      <c r="H109" s="147"/>
      <c r="I109" s="149"/>
      <c r="J109" s="149"/>
      <c r="K109" s="150"/>
      <c r="L109" s="151"/>
    </row>
    <row r="110" spans="1:12" ht="15">
      <c r="A110" s="122" t="s">
        <v>62</v>
      </c>
      <c r="B110" s="123" t="s">
        <v>66</v>
      </c>
      <c r="C110" s="126" t="s">
        <v>61</v>
      </c>
      <c r="D110" s="127">
        <v>375</v>
      </c>
      <c r="E110" s="127">
        <f>ROUND($D110*$B$9*$B$10,2)</f>
        <v>450</v>
      </c>
      <c r="F110" s="127">
        <v>480</v>
      </c>
      <c r="G110" s="144">
        <f>IFERROR(($F110/$E110)-1,0)</f>
        <v>0.06666666666666665</v>
      </c>
      <c r="H110" s="144">
        <f>IFERROR((F110/D110)-1,0)</f>
        <v>0.28</v>
      </c>
      <c r="I110" s="145">
        <v>1</v>
      </c>
      <c r="J110" s="146">
        <f>IFERROR($E110*$I110,0)</f>
        <v>450</v>
      </c>
      <c r="K110" s="146">
        <f>IFERROR($F110*$I110,0)</f>
        <v>480</v>
      </c>
      <c r="L110" s="146">
        <f>IFERROR(K110-J110,0)</f>
        <v>30</v>
      </c>
    </row>
    <row r="111" spans="1:12" ht="15">
      <c r="A111" s="122"/>
      <c r="B111" s="123"/>
      <c r="C111" s="126"/>
      <c r="D111" s="147"/>
      <c r="E111" s="127">
        <f t="shared" si="64" ref="E111:E114">ROUND($D111*$B$9*$B$10,2)</f>
        <v>0</v>
      </c>
      <c r="F111" s="147"/>
      <c r="G111" s="144">
        <f>IFERROR(($F111/$E111)-1,0)</f>
        <v>0</v>
      </c>
      <c r="H111" s="144">
        <f t="shared" si="65" ref="H111:H114">IFERROR((F111/D111)-1,0)</f>
        <v>0</v>
      </c>
      <c r="I111" s="145"/>
      <c r="J111" s="146">
        <f>IFERROR($E111*$I111,0)</f>
        <v>0</v>
      </c>
      <c r="K111" s="146">
        <f>IFERROR($F111*$I111,0)</f>
        <v>0</v>
      </c>
      <c r="L111" s="146">
        <f t="shared" si="66" ref="L111:L114">IFERROR(K111-J111,0)</f>
        <v>0</v>
      </c>
    </row>
    <row r="112" spans="1:12" ht="15">
      <c r="A112" s="122"/>
      <c r="B112" s="123"/>
      <c r="C112" s="126"/>
      <c r="D112" s="148"/>
      <c r="E112" s="127">
        <f>ROUND($D112*$B$9*$B$10,2)</f>
        <v>0</v>
      </c>
      <c r="F112" s="148"/>
      <c r="G112" s="144">
        <f>IFERROR(($F112/$E112)-1,0)</f>
        <v>0</v>
      </c>
      <c r="H112" s="144">
        <f>IFERROR((F112/D112)-1,0)</f>
        <v>0</v>
      </c>
      <c r="I112" s="145"/>
      <c r="J112" s="146">
        <f>IFERROR($E112*$I112,0)</f>
        <v>0</v>
      </c>
      <c r="K112" s="146">
        <f>IFERROR($F112*$I112,0)</f>
        <v>0</v>
      </c>
      <c r="L112" s="146">
        <f>IFERROR(K112-J112,0)</f>
        <v>0</v>
      </c>
    </row>
    <row r="113" spans="1:12" ht="15">
      <c r="A113" s="122"/>
      <c r="B113" s="123"/>
      <c r="C113" s="126"/>
      <c r="D113" s="147"/>
      <c r="E113" s="127">
        <f>ROUND($D113*$B$9*$B$10,2)</f>
        <v>0</v>
      </c>
      <c r="F113" s="147"/>
      <c r="G113" s="144">
        <f>IFERROR(($F113/$E113)-1,0)</f>
        <v>0</v>
      </c>
      <c r="H113" s="144">
        <f>IFERROR((F113/D113)-1,0)</f>
        <v>0</v>
      </c>
      <c r="I113" s="145"/>
      <c r="J113" s="146">
        <f>IFERROR($E113*$I113,0)</f>
        <v>0</v>
      </c>
      <c r="K113" s="146">
        <f>IFERROR($F113*$I113,0)</f>
        <v>0</v>
      </c>
      <c r="L113" s="146">
        <f>IFERROR(K113-J113,0)</f>
        <v>0</v>
      </c>
    </row>
    <row r="114" spans="1:12" ht="15">
      <c r="A114" s="122"/>
      <c r="B114" s="123"/>
      <c r="C114" s="126"/>
      <c r="D114" s="147"/>
      <c r="E114" s="127">
        <f>ROUND($D114*$B$9*$B$10,2)</f>
        <v>0</v>
      </c>
      <c r="F114" s="147"/>
      <c r="G114" s="144">
        <f>IFERROR(($F114/$E114)-1,0)</f>
        <v>0</v>
      </c>
      <c r="H114" s="144">
        <f>IFERROR((F114/D114)-1,0)</f>
        <v>0</v>
      </c>
      <c r="I114" s="149"/>
      <c r="J114" s="146">
        <f>IFERROR($E114*$I114,0)</f>
        <v>0</v>
      </c>
      <c r="K114" s="146">
        <f>IFERROR($F114*$I114,0)</f>
        <v>0</v>
      </c>
      <c r="L114" s="146">
        <f>IFERROR(K114-J114,0)</f>
        <v>0</v>
      </c>
    </row>
    <row r="115" spans="1:12" ht="15">
      <c r="A115" s="122"/>
      <c r="B115" s="21" t="s">
        <v>50</v>
      </c>
      <c r="C115" s="21" t="s">
        <v>51</v>
      </c>
      <c r="D115" s="147"/>
      <c r="E115" s="147"/>
      <c r="F115" s="147"/>
      <c r="G115" s="147"/>
      <c r="H115" s="147"/>
      <c r="I115" s="149"/>
      <c r="J115" s="149"/>
      <c r="K115" s="150"/>
      <c r="L115" s="151"/>
    </row>
    <row r="116" spans="1:12" ht="30">
      <c r="A116" s="122" t="s">
        <v>62</v>
      </c>
      <c r="B116" s="123" t="s">
        <v>67</v>
      </c>
      <c r="C116" s="126" t="s">
        <v>51</v>
      </c>
      <c r="D116" s="127">
        <v>400</v>
      </c>
      <c r="E116" s="127">
        <f>ROUND($D116*$B$9*$B$10,2)</f>
        <v>480</v>
      </c>
      <c r="F116" s="127">
        <v>512</v>
      </c>
      <c r="G116" s="144">
        <f>IFERROR(($F116/$E116)-1,0)</f>
        <v>0.06666666666666665</v>
      </c>
      <c r="H116" s="144">
        <f>IFERROR((F116/D116)-1,0)</f>
        <v>0.28</v>
      </c>
      <c r="I116" s="145">
        <v>70</v>
      </c>
      <c r="J116" s="146">
        <f>IFERROR($E116*$I116,0)</f>
        <v>33600</v>
      </c>
      <c r="K116" s="146">
        <f>IFERROR($F116*$I116,0)</f>
        <v>35840</v>
      </c>
      <c r="L116" s="146">
        <f>IFERROR(K116-J116,0)</f>
        <v>2240</v>
      </c>
    </row>
    <row r="117" spans="1:12" ht="15">
      <c r="A117" s="122"/>
      <c r="B117" s="123"/>
      <c r="C117" s="126"/>
      <c r="D117" s="147"/>
      <c r="E117" s="127">
        <f t="shared" si="67" ref="E117:E120">ROUND($D117*$B$9*$B$10,2)</f>
        <v>0</v>
      </c>
      <c r="F117" s="147"/>
      <c r="G117" s="144">
        <f>IFERROR(($F117/$E117)-1,0)</f>
        <v>0</v>
      </c>
      <c r="H117" s="144">
        <f t="shared" si="68" ref="H117:H120">IFERROR((F117/D117)-1,0)</f>
        <v>0</v>
      </c>
      <c r="I117" s="145"/>
      <c r="J117" s="146">
        <f>IFERROR($E117*$I117,0)</f>
        <v>0</v>
      </c>
      <c r="K117" s="146">
        <f>IFERROR($F117*$I117,0)</f>
        <v>0</v>
      </c>
      <c r="L117" s="146">
        <f t="shared" si="69" ref="L117:L120">IFERROR(K117-J117,0)</f>
        <v>0</v>
      </c>
    </row>
    <row r="118" spans="1:12" ht="15">
      <c r="A118" s="122"/>
      <c r="B118" s="123"/>
      <c r="C118" s="126"/>
      <c r="D118" s="148"/>
      <c r="E118" s="127">
        <f>ROUND($D118*$B$9*$B$10,2)</f>
        <v>0</v>
      </c>
      <c r="F118" s="148"/>
      <c r="G118" s="144">
        <f>IFERROR(($F118/$E118)-1,0)</f>
        <v>0</v>
      </c>
      <c r="H118" s="144">
        <f>IFERROR((F118/D118)-1,0)</f>
        <v>0</v>
      </c>
      <c r="I118" s="145"/>
      <c r="J118" s="146">
        <f>IFERROR($E118*$I118,0)</f>
        <v>0</v>
      </c>
      <c r="K118" s="146">
        <f>IFERROR($F118*$I118,0)</f>
        <v>0</v>
      </c>
      <c r="L118" s="146">
        <f>IFERROR(K118-J118,0)</f>
        <v>0</v>
      </c>
    </row>
    <row r="119" spans="1:12" ht="15">
      <c r="A119" s="122"/>
      <c r="B119" s="123"/>
      <c r="C119" s="126"/>
      <c r="D119" s="147"/>
      <c r="E119" s="127">
        <f>ROUND($D119*$B$9*$B$10,2)</f>
        <v>0</v>
      </c>
      <c r="F119" s="147"/>
      <c r="G119" s="144">
        <f>IFERROR(($F119/$E119)-1,0)</f>
        <v>0</v>
      </c>
      <c r="H119" s="144">
        <f>IFERROR((F119/D119)-1,0)</f>
        <v>0</v>
      </c>
      <c r="I119" s="145"/>
      <c r="J119" s="146">
        <f>IFERROR($E119*$I119,0)</f>
        <v>0</v>
      </c>
      <c r="K119" s="146">
        <f>IFERROR($F119*$I119,0)</f>
        <v>0</v>
      </c>
      <c r="L119" s="146">
        <f>IFERROR(K119-J119,0)</f>
        <v>0</v>
      </c>
    </row>
    <row r="120" spans="1:12" ht="15">
      <c r="A120" s="122"/>
      <c r="B120" s="123"/>
      <c r="C120" s="126"/>
      <c r="D120" s="147"/>
      <c r="E120" s="127">
        <f>ROUND($D120*$B$9*$B$10,2)</f>
        <v>0</v>
      </c>
      <c r="F120" s="147"/>
      <c r="G120" s="144">
        <f>IFERROR(($F120/$E120)-1,0)</f>
        <v>0</v>
      </c>
      <c r="H120" s="144">
        <f>IFERROR((F120/D120)-1,0)</f>
        <v>0</v>
      </c>
      <c r="I120" s="149"/>
      <c r="J120" s="146">
        <f>IFERROR($E120*$I120,0)</f>
        <v>0</v>
      </c>
      <c r="K120" s="146">
        <f>IFERROR($F120*$I120,0)</f>
        <v>0</v>
      </c>
      <c r="L120" s="146">
        <f>IFERROR(K120-J120,0)</f>
        <v>0</v>
      </c>
    </row>
    <row r="121" spans="1:12" ht="15">
      <c r="A121" s="122"/>
      <c r="B121" s="21" t="s">
        <v>52</v>
      </c>
      <c r="C121" s="21" t="s">
        <v>53</v>
      </c>
      <c r="D121" s="147"/>
      <c r="E121" s="147"/>
      <c r="F121" s="147"/>
      <c r="G121" s="147"/>
      <c r="H121" s="147"/>
      <c r="I121" s="149"/>
      <c r="J121" s="149"/>
      <c r="K121" s="150"/>
      <c r="L121" s="151"/>
    </row>
    <row r="122" spans="1:12" ht="15">
      <c r="A122" s="122" t="s">
        <v>62</v>
      </c>
      <c r="B122" s="123" t="s">
        <v>68</v>
      </c>
      <c r="C122" s="126" t="s">
        <v>53</v>
      </c>
      <c r="D122" s="127">
        <v>425</v>
      </c>
      <c r="E122" s="127">
        <f>ROUND($D122*$B$9*$B$10,2)</f>
        <v>510</v>
      </c>
      <c r="F122" s="127">
        <v>554</v>
      </c>
      <c r="G122" s="144">
        <f>IFERROR(($F122/$E122)-1,0)</f>
        <v>0.08627450980392148</v>
      </c>
      <c r="H122" s="144">
        <f>IFERROR((F122/D122)-1,0)</f>
        <v>0.3035294117647058</v>
      </c>
      <c r="I122" s="145">
        <v>60</v>
      </c>
      <c r="J122" s="146">
        <f>IFERROR($E122*$I122,0)</f>
        <v>30600</v>
      </c>
      <c r="K122" s="146">
        <f>IFERROR($F122*$I122,0)</f>
        <v>33240</v>
      </c>
      <c r="L122" s="146">
        <f>IFERROR(K122-J122,0)</f>
        <v>2640</v>
      </c>
    </row>
    <row r="123" spans="1:12" ht="15">
      <c r="A123" s="122"/>
      <c r="B123" s="123"/>
      <c r="C123" s="126"/>
      <c r="D123" s="147"/>
      <c r="E123" s="127">
        <f t="shared" si="70" ref="E123:E126">ROUND($D123*$B$9*$B$10,2)</f>
        <v>0</v>
      </c>
      <c r="F123" s="147"/>
      <c r="G123" s="144">
        <f>IFERROR(($F123/$E123)-1,0)</f>
        <v>0</v>
      </c>
      <c r="H123" s="144">
        <f t="shared" si="71" ref="H123:H126">IFERROR((F123/D123)-1,0)</f>
        <v>0</v>
      </c>
      <c r="I123" s="145"/>
      <c r="J123" s="146">
        <f>IFERROR($E123*$I123,0)</f>
        <v>0</v>
      </c>
      <c r="K123" s="146">
        <f>IFERROR($F123*$I123,0)</f>
        <v>0</v>
      </c>
      <c r="L123" s="146">
        <f t="shared" si="72" ref="L123:L126">IFERROR(K123-J123,0)</f>
        <v>0</v>
      </c>
    </row>
    <row r="124" spans="1:12" ht="15">
      <c r="A124" s="122"/>
      <c r="B124" s="123"/>
      <c r="C124" s="126"/>
      <c r="D124" s="148"/>
      <c r="E124" s="127">
        <f>ROUND($D124*$B$9*$B$10,2)</f>
        <v>0</v>
      </c>
      <c r="F124" s="148"/>
      <c r="G124" s="144">
        <f>IFERROR(($F124/$E124)-1,0)</f>
        <v>0</v>
      </c>
      <c r="H124" s="144">
        <f>IFERROR((F124/D124)-1,0)</f>
        <v>0</v>
      </c>
      <c r="I124" s="145"/>
      <c r="J124" s="146">
        <f>IFERROR($E124*$I124,0)</f>
        <v>0</v>
      </c>
      <c r="K124" s="146">
        <f>IFERROR($F124*$I124,0)</f>
        <v>0</v>
      </c>
      <c r="L124" s="146">
        <f>IFERROR(K124-J124,0)</f>
        <v>0</v>
      </c>
    </row>
    <row r="125" spans="1:12" ht="15">
      <c r="A125" s="122"/>
      <c r="B125" s="123"/>
      <c r="C125" s="126"/>
      <c r="D125" s="147"/>
      <c r="E125" s="127">
        <f>ROUND($D125*$B$9*$B$10,2)</f>
        <v>0</v>
      </c>
      <c r="F125" s="147"/>
      <c r="G125" s="144">
        <f>IFERROR(($F125/$E125)-1,0)</f>
        <v>0</v>
      </c>
      <c r="H125" s="144">
        <f>IFERROR((F125/D125)-1,0)</f>
        <v>0</v>
      </c>
      <c r="I125" s="145"/>
      <c r="J125" s="146">
        <f>IFERROR($E125*$I125,0)</f>
        <v>0</v>
      </c>
      <c r="K125" s="146">
        <f>IFERROR($F125*$I125,0)</f>
        <v>0</v>
      </c>
      <c r="L125" s="146">
        <f>IFERROR(K125-J125,0)</f>
        <v>0</v>
      </c>
    </row>
    <row r="126" spans="1:12" ht="15">
      <c r="A126" s="122"/>
      <c r="B126" s="123"/>
      <c r="C126" s="126"/>
      <c r="D126" s="147"/>
      <c r="E126" s="127">
        <f>ROUND($D126*$B$9*$B$10,2)</f>
        <v>0</v>
      </c>
      <c r="F126" s="147"/>
      <c r="G126" s="144">
        <f>IFERROR(($F126/$E126)-1,0)</f>
        <v>0</v>
      </c>
      <c r="H126" s="144">
        <f>IFERROR((F126/D126)-1,0)</f>
        <v>0</v>
      </c>
      <c r="I126" s="149"/>
      <c r="J126" s="146">
        <f>IFERROR($E126*$I126,0)</f>
        <v>0</v>
      </c>
      <c r="K126" s="146">
        <f>IFERROR($F126*$I126,0)</f>
        <v>0</v>
      </c>
      <c r="L126" s="146">
        <f>IFERROR(K126-J126,0)</f>
        <v>0</v>
      </c>
    </row>
    <row r="127" spans="1:12" ht="15">
      <c r="A127" s="122"/>
      <c r="B127" s="21" t="s">
        <v>54</v>
      </c>
      <c r="C127" s="21" t="s">
        <v>55</v>
      </c>
      <c r="D127" s="147"/>
      <c r="E127" s="147"/>
      <c r="F127" s="147"/>
      <c r="G127" s="147"/>
      <c r="H127" s="147"/>
      <c r="I127" s="149"/>
      <c r="J127" s="149"/>
      <c r="K127" s="150"/>
      <c r="L127" s="151"/>
    </row>
    <row r="128" spans="1:12" ht="15">
      <c r="A128" s="122" t="s">
        <v>62</v>
      </c>
      <c r="B128" s="123" t="s">
        <v>69</v>
      </c>
      <c r="C128" s="126" t="s">
        <v>55</v>
      </c>
      <c r="D128" s="127">
        <v>450</v>
      </c>
      <c r="E128" s="127">
        <f>ROUND($D128*$B$9*$B$10,2)</f>
        <v>540</v>
      </c>
      <c r="F128" s="127">
        <v>576</v>
      </c>
      <c r="G128" s="144">
        <f>IFERROR(($F128/$E128)-1,0)</f>
        <v>0.06666666666666665</v>
      </c>
      <c r="H128" s="144">
        <f>IFERROR((F128/D128)-1,0)</f>
        <v>0.28</v>
      </c>
      <c r="I128" s="145">
        <v>50</v>
      </c>
      <c r="J128" s="146">
        <f>IFERROR($E128*$I128,0)</f>
        <v>27000</v>
      </c>
      <c r="K128" s="146">
        <f>IFERROR($F128*$I128,0)</f>
        <v>28800</v>
      </c>
      <c r="L128" s="146">
        <f>IFERROR(K128-J128,0)</f>
        <v>1800</v>
      </c>
    </row>
    <row r="129" spans="1:12" ht="15">
      <c r="A129" s="122"/>
      <c r="B129" s="123"/>
      <c r="C129" s="126"/>
      <c r="D129" s="147"/>
      <c r="E129" s="127">
        <f t="shared" si="73" ref="E129:E132">ROUND($D129*$B$9*$B$10,2)</f>
        <v>0</v>
      </c>
      <c r="F129" s="147"/>
      <c r="G129" s="144">
        <f>IFERROR(($F129/$E129)-1,0)</f>
        <v>0</v>
      </c>
      <c r="H129" s="144">
        <f t="shared" si="74" ref="H129:H132">IFERROR((F129/D129)-1,0)</f>
        <v>0</v>
      </c>
      <c r="I129" s="145"/>
      <c r="J129" s="146">
        <f>IFERROR($E129*$I129,0)</f>
        <v>0</v>
      </c>
      <c r="K129" s="146">
        <f>IFERROR($F129*$I129,0)</f>
        <v>0</v>
      </c>
      <c r="L129" s="146">
        <f t="shared" si="75" ref="L129:L132">IFERROR(K129-J129,0)</f>
        <v>0</v>
      </c>
    </row>
    <row r="130" spans="1:12" ht="15">
      <c r="A130" s="122"/>
      <c r="B130" s="123"/>
      <c r="C130" s="126"/>
      <c r="D130" s="148"/>
      <c r="E130" s="127">
        <f>ROUND($D130*$B$9*$B$10,2)</f>
        <v>0</v>
      </c>
      <c r="F130" s="148"/>
      <c r="G130" s="144">
        <f>IFERROR(($F130/$E130)-1,0)</f>
        <v>0</v>
      </c>
      <c r="H130" s="144">
        <f>IFERROR((F130/D130)-1,0)</f>
        <v>0</v>
      </c>
      <c r="I130" s="145"/>
      <c r="J130" s="146">
        <f>IFERROR($E130*$I130,0)</f>
        <v>0</v>
      </c>
      <c r="K130" s="146">
        <f>IFERROR($F130*$I130,0)</f>
        <v>0</v>
      </c>
      <c r="L130" s="146">
        <f>IFERROR(K130-J130,0)</f>
        <v>0</v>
      </c>
    </row>
    <row r="131" spans="1:12" ht="15">
      <c r="A131" s="122"/>
      <c r="B131" s="123"/>
      <c r="C131" s="126"/>
      <c r="D131" s="147"/>
      <c r="E131" s="127">
        <f>ROUND($D131*$B$9*$B$10,2)</f>
        <v>0</v>
      </c>
      <c r="F131" s="147"/>
      <c r="G131" s="144">
        <f>IFERROR(($F131/$E131)-1,0)</f>
        <v>0</v>
      </c>
      <c r="H131" s="144">
        <f>IFERROR((F131/D131)-1,0)</f>
        <v>0</v>
      </c>
      <c r="I131" s="145"/>
      <c r="J131" s="146">
        <f>IFERROR($E131*$I131,0)</f>
        <v>0</v>
      </c>
      <c r="K131" s="146">
        <f>IFERROR($F131*$I131,0)</f>
        <v>0</v>
      </c>
      <c r="L131" s="146">
        <f>IFERROR(K131-J131,0)</f>
        <v>0</v>
      </c>
    </row>
    <row r="132" spans="1:12" ht="15">
      <c r="A132" s="122"/>
      <c r="B132" s="123"/>
      <c r="C132" s="126"/>
      <c r="D132" s="147"/>
      <c r="E132" s="127">
        <f>ROUND($D132*$B$9*$B$10,2)</f>
        <v>0</v>
      </c>
      <c r="F132" s="147"/>
      <c r="G132" s="144">
        <f>IFERROR(($F132/$E132)-1,0)</f>
        <v>0</v>
      </c>
      <c r="H132" s="144">
        <f>IFERROR((F132/D132)-1,0)</f>
        <v>0</v>
      </c>
      <c r="I132" s="149"/>
      <c r="J132" s="146">
        <f>IFERROR($E132*$I132,0)</f>
        <v>0</v>
      </c>
      <c r="K132" s="146">
        <f>IFERROR($F132*$I132,0)</f>
        <v>0</v>
      </c>
      <c r="L132" s="146">
        <f>IFERROR(K132-J132,0)</f>
        <v>0</v>
      </c>
    </row>
    <row r="133" spans="1:12" ht="15">
      <c r="A133" s="122"/>
      <c r="B133" s="21" t="s">
        <v>57</v>
      </c>
      <c r="C133" s="21" t="s">
        <v>58</v>
      </c>
      <c r="D133" s="147"/>
      <c r="E133" s="147"/>
      <c r="F133" s="147"/>
      <c r="G133" s="147"/>
      <c r="H133" s="147"/>
      <c r="I133" s="149"/>
      <c r="J133" s="149"/>
      <c r="K133" s="150"/>
      <c r="L133" s="151"/>
    </row>
    <row r="134" spans="1:12" ht="15">
      <c r="A134" s="122" t="s">
        <v>62</v>
      </c>
      <c r="B134" s="123" t="s">
        <v>70</v>
      </c>
      <c r="C134" s="126" t="s">
        <v>58</v>
      </c>
      <c r="D134" s="127">
        <v>475</v>
      </c>
      <c r="E134" s="127">
        <f>ROUND($D134*$B$9*$B$10,2)</f>
        <v>570</v>
      </c>
      <c r="F134" s="127">
        <v>608</v>
      </c>
      <c r="G134" s="144">
        <f>IFERROR(($F134/$E134)-1,0)</f>
        <v>0.06666666666666665</v>
      </c>
      <c r="H134" s="144">
        <f>IFERROR((F134/D134)-1,0)</f>
        <v>0.28</v>
      </c>
      <c r="I134" s="145">
        <v>40</v>
      </c>
      <c r="J134" s="146">
        <f>IFERROR($E134*$I134,0)</f>
        <v>22800</v>
      </c>
      <c r="K134" s="146">
        <f>IFERROR($F134*$I134,0)</f>
        <v>24320</v>
      </c>
      <c r="L134" s="146">
        <f>IFERROR(K134-J134,0)</f>
        <v>1520</v>
      </c>
    </row>
    <row r="135" spans="1:12" ht="15">
      <c r="A135" s="122"/>
      <c r="B135" s="123"/>
      <c r="C135" s="126"/>
      <c r="D135" s="147"/>
      <c r="E135" s="127">
        <f t="shared" si="76" ref="E135:E138">ROUND($D135*$B$9*$B$10,2)</f>
        <v>0</v>
      </c>
      <c r="F135" s="147"/>
      <c r="G135" s="144">
        <f>IFERROR(($F135/$E135)-1,0)</f>
        <v>0</v>
      </c>
      <c r="H135" s="144">
        <f t="shared" si="77" ref="H135:H138">IFERROR((F135/D135)-1,0)</f>
        <v>0</v>
      </c>
      <c r="I135" s="145"/>
      <c r="J135" s="146">
        <f>IFERROR($E135*$I135,0)</f>
        <v>0</v>
      </c>
      <c r="K135" s="146">
        <f>IFERROR($F135*$I135,0)</f>
        <v>0</v>
      </c>
      <c r="L135" s="146">
        <f t="shared" si="78" ref="L135:L138">IFERROR(K135-J135,0)</f>
        <v>0</v>
      </c>
    </row>
    <row r="136" spans="1:12" ht="15">
      <c r="A136" s="122"/>
      <c r="B136" s="123"/>
      <c r="C136" s="126"/>
      <c r="D136" s="148"/>
      <c r="E136" s="127">
        <f>ROUND($D136*$B$9*$B$10,2)</f>
        <v>0</v>
      </c>
      <c r="F136" s="148"/>
      <c r="G136" s="144">
        <f>IFERROR(($F136/$E136)-1,0)</f>
        <v>0</v>
      </c>
      <c r="H136" s="144">
        <f>IFERROR((F136/D136)-1,0)</f>
        <v>0</v>
      </c>
      <c r="I136" s="145"/>
      <c r="J136" s="146">
        <f>IFERROR($E136*$I136,0)</f>
        <v>0</v>
      </c>
      <c r="K136" s="146">
        <f>IFERROR($F136*$I136,0)</f>
        <v>0</v>
      </c>
      <c r="L136" s="146">
        <f>IFERROR(K136-J136,0)</f>
        <v>0</v>
      </c>
    </row>
    <row r="137" spans="1:12" ht="15">
      <c r="A137" s="122"/>
      <c r="B137" s="123"/>
      <c r="C137" s="126"/>
      <c r="D137" s="147"/>
      <c r="E137" s="127">
        <f>ROUND($D137*$B$9*$B$10,2)</f>
        <v>0</v>
      </c>
      <c r="F137" s="147"/>
      <c r="G137" s="144">
        <f>IFERROR(($F137/$E137)-1,0)</f>
        <v>0</v>
      </c>
      <c r="H137" s="144">
        <f>IFERROR((F137/D137)-1,0)</f>
        <v>0</v>
      </c>
      <c r="I137" s="145"/>
      <c r="J137" s="146">
        <f>IFERROR($E137*$I137,0)</f>
        <v>0</v>
      </c>
      <c r="K137" s="146">
        <f>IFERROR($F137*$I137,0)</f>
        <v>0</v>
      </c>
      <c r="L137" s="146">
        <f>IFERROR(K137-J137,0)</f>
        <v>0</v>
      </c>
    </row>
    <row r="138" spans="1:12" ht="15">
      <c r="A138" s="122"/>
      <c r="B138" s="123"/>
      <c r="C138" s="126"/>
      <c r="D138" s="147"/>
      <c r="E138" s="127">
        <f>ROUND($D138*$B$9*$B$10,2)</f>
        <v>0</v>
      </c>
      <c r="F138" s="147"/>
      <c r="G138" s="144">
        <f>IFERROR(($F138/$E138)-1,0)</f>
        <v>0</v>
      </c>
      <c r="H138" s="144">
        <f>IFERROR((F138/D138)-1,0)</f>
        <v>0</v>
      </c>
      <c r="I138" s="149"/>
      <c r="J138" s="146">
        <f>IFERROR($E138*$I138,0)</f>
        <v>0</v>
      </c>
      <c r="K138" s="146">
        <f>IFERROR($F138*$I138,0)</f>
        <v>0</v>
      </c>
      <c r="L138" s="146">
        <f>IFERROR(K138-J138,0)</f>
        <v>0</v>
      </c>
    </row>
    <row r="139" spans="1:12" ht="30">
      <c r="A139" s="122"/>
      <c r="B139" s="21" t="s">
        <v>59</v>
      </c>
      <c r="C139" s="21" t="s">
        <v>60</v>
      </c>
      <c r="D139" s="147"/>
      <c r="E139" s="147"/>
      <c r="F139" s="147"/>
      <c r="G139" s="147"/>
      <c r="H139" s="147"/>
      <c r="I139" s="149"/>
      <c r="J139" s="149"/>
      <c r="K139" s="150"/>
      <c r="L139" s="151"/>
    </row>
    <row r="140" spans="1:12" ht="15">
      <c r="A140" s="122" t="s">
        <v>62</v>
      </c>
      <c r="B140" s="123" t="s">
        <v>71</v>
      </c>
      <c r="C140" s="126" t="s">
        <v>60</v>
      </c>
      <c r="D140" s="127">
        <v>500</v>
      </c>
      <c r="E140" s="127">
        <f>ROUND($D140*$B$9*$B$10,2)</f>
        <v>600</v>
      </c>
      <c r="F140" s="127">
        <v>640</v>
      </c>
      <c r="G140" s="144">
        <f>IFERROR(($F140/$E140)-1,0)</f>
        <v>0.06666666666666665</v>
      </c>
      <c r="H140" s="144">
        <f>IFERROR((F140/D140)-1,0)</f>
        <v>0.28</v>
      </c>
      <c r="I140" s="145">
        <v>30</v>
      </c>
      <c r="J140" s="146">
        <f>IFERROR($E140*$I140,0)</f>
        <v>18000</v>
      </c>
      <c r="K140" s="146">
        <f>IFERROR($F140*$I140,0)</f>
        <v>19200</v>
      </c>
      <c r="L140" s="146">
        <f>IFERROR(K140-J140,0)</f>
        <v>1200</v>
      </c>
    </row>
    <row r="141" spans="1:12" ht="15">
      <c r="A141" s="122"/>
      <c r="B141" s="123"/>
      <c r="C141" s="126"/>
      <c r="D141" s="147"/>
      <c r="E141" s="127">
        <f t="shared" si="79" ref="E141:E144">ROUND($D141*$B$9*$B$10,2)</f>
        <v>0</v>
      </c>
      <c r="F141" s="147"/>
      <c r="G141" s="144">
        <f>IFERROR(($F141/$E141)-1,0)</f>
        <v>0</v>
      </c>
      <c r="H141" s="144">
        <f t="shared" si="80" ref="H141:H144">IFERROR((F141/D141)-1,0)</f>
        <v>0</v>
      </c>
      <c r="I141" s="145"/>
      <c r="J141" s="146">
        <f>IFERROR($E141*$I141,0)</f>
        <v>0</v>
      </c>
      <c r="K141" s="146">
        <f>IFERROR($F141*$I141,0)</f>
        <v>0</v>
      </c>
      <c r="L141" s="146">
        <f t="shared" si="81" ref="L141:L144">IFERROR(K141-J141,0)</f>
        <v>0</v>
      </c>
    </row>
    <row r="142" spans="1:12" ht="15">
      <c r="A142" s="122"/>
      <c r="B142" s="123"/>
      <c r="C142" s="126"/>
      <c r="D142" s="148"/>
      <c r="E142" s="127">
        <f>ROUND($D142*$B$9*$B$10,2)</f>
        <v>0</v>
      </c>
      <c r="F142" s="148"/>
      <c r="G142" s="144">
        <f>IFERROR(($F142/$E142)-1,0)</f>
        <v>0</v>
      </c>
      <c r="H142" s="144">
        <f>IFERROR((F142/D142)-1,0)</f>
        <v>0</v>
      </c>
      <c r="I142" s="145"/>
      <c r="J142" s="146">
        <f>IFERROR($E142*$I142,0)</f>
        <v>0</v>
      </c>
      <c r="K142" s="146">
        <f>IFERROR($F142*$I142,0)</f>
        <v>0</v>
      </c>
      <c r="L142" s="146">
        <f>IFERROR(K142-J142,0)</f>
        <v>0</v>
      </c>
    </row>
    <row r="143" spans="1:12" ht="15">
      <c r="A143" s="122"/>
      <c r="B143" s="123"/>
      <c r="C143" s="126"/>
      <c r="D143" s="147"/>
      <c r="E143" s="127">
        <f>ROUND($D143*$B$9*$B$10,2)</f>
        <v>0</v>
      </c>
      <c r="F143" s="147"/>
      <c r="G143" s="144">
        <f>IFERROR(($F143/$E143)-1,0)</f>
        <v>0</v>
      </c>
      <c r="H143" s="144">
        <f>IFERROR((F143/D143)-1,0)</f>
        <v>0</v>
      </c>
      <c r="I143" s="145"/>
      <c r="J143" s="146">
        <f>IFERROR($E143*$I143,0)</f>
        <v>0</v>
      </c>
      <c r="K143" s="146">
        <f>IFERROR($F143*$I143,0)</f>
        <v>0</v>
      </c>
      <c r="L143" s="146">
        <f>IFERROR(K143-J143,0)</f>
        <v>0</v>
      </c>
    </row>
    <row r="144" spans="1:12" ht="15">
      <c r="A144" s="122"/>
      <c r="B144" s="123"/>
      <c r="C144" s="126"/>
      <c r="D144" s="147"/>
      <c r="E144" s="127">
        <f>ROUND($D144*$B$9*$B$10,2)</f>
        <v>0</v>
      </c>
      <c r="F144" s="147"/>
      <c r="G144" s="144">
        <f>IFERROR(($F144/$E144)-1,0)</f>
        <v>0</v>
      </c>
      <c r="H144" s="144">
        <f>IFERROR((F144/D144)-1,0)</f>
        <v>0</v>
      </c>
      <c r="I144" s="149"/>
      <c r="J144" s="146">
        <f>IFERROR($E144*$I144,0)</f>
        <v>0</v>
      </c>
      <c r="K144" s="146">
        <f>IFERROR($F144*$I144,0)</f>
        <v>0</v>
      </c>
      <c r="L144" s="146">
        <f>IFERROR(K144-J144,0)</f>
        <v>0</v>
      </c>
    </row>
    <row r="145" spans="1:12" ht="30">
      <c r="A145" s="122"/>
      <c r="B145" s="21" t="s">
        <v>78</v>
      </c>
      <c r="C145" s="21" t="s">
        <v>80</v>
      </c>
      <c r="D145" s="147"/>
      <c r="E145" s="147"/>
      <c r="F145" s="147"/>
      <c r="G145" s="147"/>
      <c r="H145" s="147"/>
      <c r="I145" s="149"/>
      <c r="J145" s="149"/>
      <c r="K145" s="150"/>
      <c r="L145" s="151"/>
    </row>
    <row r="146" spans="1:12" ht="15">
      <c r="A146" s="122" t="s">
        <v>62</v>
      </c>
      <c r="B146" s="123" t="s">
        <v>79</v>
      </c>
      <c r="C146" s="126" t="s">
        <v>80</v>
      </c>
      <c r="D146" s="127">
        <v>90</v>
      </c>
      <c r="E146" s="127">
        <f>ROUND($D146*$B$9*$B$10,2)</f>
        <v>108</v>
      </c>
      <c r="F146" s="127">
        <v>115.20</v>
      </c>
      <c r="G146" s="144">
        <f>IFERROR(($F146/$E146)-1,0)</f>
        <v>0.06666666666666665</v>
      </c>
      <c r="H146" s="144">
        <f>IFERROR((F146/D146)-1,0)</f>
        <v>0.28</v>
      </c>
      <c r="I146" s="145">
        <v>5</v>
      </c>
      <c r="J146" s="146">
        <f>IFERROR($E146*$I146,0)</f>
        <v>540</v>
      </c>
      <c r="K146" s="146">
        <f>IFERROR($F146*$I146,0)</f>
        <v>576</v>
      </c>
      <c r="L146" s="146">
        <f>IFERROR(K146-J146,0)</f>
        <v>36</v>
      </c>
    </row>
    <row r="147" spans="1:12" ht="15">
      <c r="A147" s="122"/>
      <c r="B147" s="123"/>
      <c r="C147" s="126"/>
      <c r="D147" s="147"/>
      <c r="E147" s="127">
        <f t="shared" si="82" ref="E147:E150">ROUND($D147*$B$9*$B$10,2)</f>
        <v>0</v>
      </c>
      <c r="F147" s="147"/>
      <c r="G147" s="144">
        <f>IFERROR(($F147/$E147)-1,0)</f>
        <v>0</v>
      </c>
      <c r="H147" s="144">
        <f t="shared" si="83" ref="H147:H150">IFERROR((F147/D147)-1,0)</f>
        <v>0</v>
      </c>
      <c r="I147" s="145"/>
      <c r="J147" s="146">
        <f>IFERROR($E147*$I147,0)</f>
        <v>0</v>
      </c>
      <c r="K147" s="146">
        <f>IFERROR($F147*$I147,0)</f>
        <v>0</v>
      </c>
      <c r="L147" s="146">
        <f t="shared" si="84" ref="L147:L150">IFERROR(K147-J147,0)</f>
        <v>0</v>
      </c>
    </row>
    <row r="148" spans="1:12" ht="15">
      <c r="A148" s="122"/>
      <c r="B148" s="123"/>
      <c r="C148" s="126"/>
      <c r="D148" s="148"/>
      <c r="E148" s="127">
        <f>ROUND($D148*$B$9*$B$10,2)</f>
        <v>0</v>
      </c>
      <c r="F148" s="148"/>
      <c r="G148" s="144">
        <f>IFERROR(($F148/$E148)-1,0)</f>
        <v>0</v>
      </c>
      <c r="H148" s="144">
        <f>IFERROR((F148/D148)-1,0)</f>
        <v>0</v>
      </c>
      <c r="I148" s="145"/>
      <c r="J148" s="146">
        <f>IFERROR($E148*$I148,0)</f>
        <v>0</v>
      </c>
      <c r="K148" s="146">
        <f>IFERROR($F148*$I148,0)</f>
        <v>0</v>
      </c>
      <c r="L148" s="146">
        <f>IFERROR(K148-J148,0)</f>
        <v>0</v>
      </c>
    </row>
    <row r="149" spans="1:12" ht="15">
      <c r="A149" s="122"/>
      <c r="B149" s="123"/>
      <c r="C149" s="126"/>
      <c r="D149" s="147"/>
      <c r="E149" s="127">
        <f>ROUND($D149*$B$9*$B$10,2)</f>
        <v>0</v>
      </c>
      <c r="F149" s="147"/>
      <c r="G149" s="144">
        <f>IFERROR(($F149/$E149)-1,0)</f>
        <v>0</v>
      </c>
      <c r="H149" s="144">
        <f>IFERROR((F149/D149)-1,0)</f>
        <v>0</v>
      </c>
      <c r="I149" s="145"/>
      <c r="J149" s="146">
        <f>IFERROR($E149*$I149,0)</f>
        <v>0</v>
      </c>
      <c r="K149" s="146">
        <f>IFERROR($F149*$I149,0)</f>
        <v>0</v>
      </c>
      <c r="L149" s="146">
        <f>IFERROR(K149-J149,0)</f>
        <v>0</v>
      </c>
    </row>
    <row r="150" spans="1:12" ht="15">
      <c r="A150" s="122"/>
      <c r="B150" s="123"/>
      <c r="C150" s="126"/>
      <c r="D150" s="147"/>
      <c r="E150" s="127">
        <f>ROUND($D150*$B$9*$B$10,2)</f>
        <v>0</v>
      </c>
      <c r="F150" s="147"/>
      <c r="G150" s="144">
        <f>IFERROR(($F150/$E150)-1,0)</f>
        <v>0</v>
      </c>
      <c r="H150" s="144">
        <f>IFERROR((F150/D150)-1,0)</f>
        <v>0</v>
      </c>
      <c r="I150" s="149"/>
      <c r="J150" s="146">
        <f>IFERROR($E150*$I150,0)</f>
        <v>0</v>
      </c>
      <c r="K150" s="146">
        <f>IFERROR($F150*$I150,0)</f>
        <v>0</v>
      </c>
      <c r="L150" s="146">
        <f>IFERROR(K150-J150,0)</f>
        <v>0</v>
      </c>
    </row>
  </sheetData>
  <mergeCells count="4">
    <mergeCell ref="A84:L85"/>
    <mergeCell ref="J87:L87"/>
    <mergeCell ref="A14:N15"/>
    <mergeCell ref="L17:N17"/>
  </mergeCells>
  <pageMargins left="0.25" right="0.25" top="0.75" bottom="0.75" header="0.3" footer="0.3"/>
  <pageSetup fitToHeight="0" orientation="landscape" paperSize="5" scale="59" r:id="rId1"/>
  <headerFooter>
    <oddFooter>&amp;L&amp;Z&amp;F\&amp;A&amp;R&amp;D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BDC1-E8DF-40F5-8D98-65A36D894BCB}">
  <sheetPr codeName="Sheet13">
    <pageSetUpPr fitToPage="1"/>
  </sheetPr>
  <dimension ref="A1:P150"/>
  <sheetViews>
    <sheetView zoomScale="80" zoomScaleNormal="80" workbookViewId="0" topLeftCell="A1"/>
  </sheetViews>
  <sheetFormatPr defaultColWidth="9.145" defaultRowHeight="15"/>
  <cols>
    <col min="1" max="1" width="59" style="132" bestFit="1" customWidth="1"/>
    <col min="2" max="2" width="39.25" style="37" customWidth="1"/>
    <col min="3" max="3" width="15.75" style="108" customWidth="1"/>
    <col min="4" max="8" width="15.75" style="35" customWidth="1"/>
    <col min="9" max="11" width="15.75" style="39" customWidth="1"/>
    <col min="12" max="12" width="15.75" style="40" customWidth="1"/>
    <col min="13" max="15" width="18.25" style="41" customWidth="1"/>
    <col min="16" max="16" width="15.75" style="41" customWidth="1"/>
    <col min="17" max="16384" width="9.125" style="41"/>
  </cols>
  <sheetData>
    <row r="1" spans="1:8" ht="15">
      <c r="A1" s="36" t="str">
        <f ca="1">MID(CELL("filename",A1),FIND("]",CELL("filename",A1))+1,255)</f>
        <v>Study Area 3 TRP</v>
      </c>
      <c r="C1" s="41"/>
      <c r="D1" s="41"/>
      <c r="F1" s="38"/>
      <c r="G1" s="41"/>
      <c r="H1" s="41"/>
    </row>
    <row r="2" spans="1:8" ht="15">
      <c r="A2" s="29" t="s">
        <v>19</v>
      </c>
      <c r="C2" s="41"/>
      <c r="D2" s="41"/>
      <c r="F2" s="79"/>
      <c r="G2" s="41"/>
      <c r="H2" s="41"/>
    </row>
    <row r="3" spans="1:8" ht="15">
      <c r="A3" s="29" t="s">
        <v>25</v>
      </c>
      <c r="C3" s="41"/>
      <c r="D3" s="41"/>
      <c r="F3" s="43"/>
      <c r="G3" s="41"/>
      <c r="H3" s="41"/>
    </row>
    <row r="4" spans="1:8" ht="15">
      <c r="A4" s="29" t="s">
        <v>20</v>
      </c>
      <c r="C4" s="41"/>
      <c r="D4" s="41"/>
      <c r="F4" s="43"/>
      <c r="G4" s="41"/>
      <c r="H4" s="41"/>
    </row>
    <row r="5" spans="1:12" ht="15">
      <c r="A5" s="44" t="s">
        <v>14</v>
      </c>
      <c r="C5" s="41"/>
      <c r="D5" s="41"/>
      <c r="F5" s="43"/>
      <c r="G5" s="41"/>
      <c r="H5" s="41"/>
      <c r="I5" s="41"/>
      <c r="J5" s="41"/>
      <c r="K5" s="41"/>
      <c r="L5" s="41"/>
    </row>
    <row r="6" spans="1:12" ht="15">
      <c r="A6" s="44"/>
      <c r="C6" s="41"/>
      <c r="D6" s="41"/>
      <c r="F6" s="43"/>
      <c r="G6" s="28"/>
      <c r="H6" s="58"/>
      <c r="I6" s="41"/>
      <c r="J6" s="41"/>
      <c r="K6" s="41"/>
      <c r="L6" s="41"/>
    </row>
    <row r="7" spans="1:12" ht="15">
      <c r="A7" s="62" t="s">
        <v>15</v>
      </c>
      <c r="B7" s="180">
        <f>'Exogenous Costs'!C22</f>
        <v>900003</v>
      </c>
      <c r="C7" s="41"/>
      <c r="D7" s="41"/>
      <c r="F7" s="43"/>
      <c r="G7" s="28"/>
      <c r="H7" s="58"/>
      <c r="I7" s="41"/>
      <c r="J7" s="41"/>
      <c r="K7" s="41"/>
      <c r="L7" s="41"/>
    </row>
    <row r="8" spans="1:12" ht="15">
      <c r="A8" s="62" t="s">
        <v>16</v>
      </c>
      <c r="B8" s="63" t="str">
        <f>'Exogenous Costs'!D22</f>
        <v>Study Area 3</v>
      </c>
      <c r="C8" s="41"/>
      <c r="D8" s="41"/>
      <c r="F8" s="43"/>
      <c r="G8" s="28"/>
      <c r="H8" s="58"/>
      <c r="I8" s="41"/>
      <c r="J8" s="41"/>
      <c r="K8" s="41"/>
      <c r="L8" s="41"/>
    </row>
    <row r="9" spans="1:12" ht="15">
      <c r="A9" s="62" t="s">
        <v>17</v>
      </c>
      <c r="B9" s="64">
        <f>'Factor Dev'!G18</f>
        <v>0.50</v>
      </c>
      <c r="C9" s="41"/>
      <c r="D9" s="41"/>
      <c r="F9" s="43"/>
      <c r="G9" s="28"/>
      <c r="H9" s="58"/>
      <c r="I9" s="41"/>
      <c r="J9" s="41"/>
      <c r="K9" s="41"/>
      <c r="L9" s="41"/>
    </row>
    <row r="10" spans="1:12" ht="15">
      <c r="A10" s="62" t="s">
        <v>18</v>
      </c>
      <c r="B10" s="64">
        <f>'Factor Dev'!K18</f>
        <v>1</v>
      </c>
      <c r="C10" s="41"/>
      <c r="D10" s="41"/>
      <c r="F10" s="43"/>
      <c r="G10" s="28"/>
      <c r="H10" s="58"/>
      <c r="I10" s="41"/>
      <c r="J10" s="41"/>
      <c r="K10" s="41"/>
      <c r="L10" s="41"/>
    </row>
    <row r="11" spans="1:12" ht="15">
      <c r="A11" s="62"/>
      <c r="B11" s="64"/>
      <c r="C11" s="41"/>
      <c r="D11" s="41"/>
      <c r="F11" s="43"/>
      <c r="G11" s="28"/>
      <c r="H11" s="58"/>
      <c r="I11" s="41"/>
      <c r="J11" s="41"/>
      <c r="K11" s="41"/>
      <c r="L11" s="41"/>
    </row>
    <row r="12" spans="1:15" ht="15">
      <c r="A12" s="23"/>
      <c r="C12" s="29"/>
      <c r="F12" s="43"/>
      <c r="G12" s="11"/>
      <c r="I12" s="98"/>
      <c r="J12" s="98"/>
      <c r="K12" s="98"/>
      <c r="M12" s="11"/>
      <c r="N12" s="11"/>
      <c r="O12" s="11"/>
    </row>
    <row r="13" spans="1:15" ht="15.75" thickBot="1">
      <c r="A13" s="23"/>
      <c r="C13" s="29"/>
      <c r="F13" s="43"/>
      <c r="G13" s="11"/>
      <c r="I13" s="99"/>
      <c r="J13" s="98"/>
      <c r="K13" s="98"/>
      <c r="M13" s="11"/>
      <c r="N13" s="11"/>
      <c r="O13" s="11"/>
    </row>
    <row r="14" spans="1:16" ht="14.45" customHeight="1">
      <c r="A14" s="307" t="s">
        <v>22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9"/>
      <c r="O14" s="105"/>
      <c r="P14" s="105"/>
    </row>
    <row r="15" spans="1:16" ht="14.45" customHeight="1" thickBot="1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2"/>
      <c r="O15" s="105"/>
      <c r="P15" s="105"/>
    </row>
    <row r="16" spans="1:16" s="100" customFormat="1" ht="14.45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ht="15.75">
      <c r="A17" s="41"/>
      <c r="B17" s="107"/>
      <c r="D17" s="109"/>
      <c r="E17" s="109"/>
      <c r="F17" s="109"/>
      <c r="G17" s="109"/>
      <c r="H17" s="109"/>
      <c r="I17" s="41"/>
      <c r="J17" s="110"/>
      <c r="K17" s="110"/>
      <c r="L17" s="306" t="s">
        <v>117</v>
      </c>
      <c r="M17" s="306"/>
      <c r="N17" s="306"/>
      <c r="O17" s="111"/>
      <c r="P17" s="76"/>
    </row>
    <row r="18" spans="1:14" s="78" customFormat="1" ht="154.15" customHeight="1">
      <c r="A18" s="112" t="s">
        <v>29</v>
      </c>
      <c r="B18" s="112" t="s">
        <v>23</v>
      </c>
      <c r="C18" s="113" t="s">
        <v>4</v>
      </c>
      <c r="D18" s="114" t="s">
        <v>94</v>
      </c>
      <c r="E18" s="114" t="s">
        <v>95</v>
      </c>
      <c r="F18" s="114" t="s">
        <v>96</v>
      </c>
      <c r="G18" s="114" t="s">
        <v>97</v>
      </c>
      <c r="H18" s="114" t="s">
        <v>98</v>
      </c>
      <c r="I18" s="115" t="s">
        <v>99</v>
      </c>
      <c r="J18" s="116" t="s">
        <v>100</v>
      </c>
      <c r="K18" s="116" t="s">
        <v>101</v>
      </c>
      <c r="L18" s="117" t="s">
        <v>102</v>
      </c>
      <c r="M18" s="117" t="s">
        <v>36</v>
      </c>
      <c r="N18" s="114" t="s">
        <v>103</v>
      </c>
    </row>
    <row r="19" spans="1:14" s="75" customFormat="1" ht="15">
      <c r="A19" s="118"/>
      <c r="B19" s="119"/>
      <c r="C19" s="112" t="str">
        <f>"Col "&amp;COLUMN(C20)+24</f>
        <v>Col 27</v>
      </c>
      <c r="D19" s="112" t="str">
        <f t="shared" si="0" ref="D19:N19">"Col "&amp;COLUMN(D20)+24</f>
        <v>Col 28</v>
      </c>
      <c r="E19" s="112" t="str">
        <f>"Col "&amp;COLUMN(E20)+24</f>
        <v>Col 29</v>
      </c>
      <c r="F19" s="112" t="str">
        <f>"Col "&amp;COLUMN(F20)+24</f>
        <v>Col 30</v>
      </c>
      <c r="G19" s="112" t="str">
        <f>"Col "&amp;COLUMN(G20)+24</f>
        <v>Col 31</v>
      </c>
      <c r="H19" s="112" t="str">
        <f>"Col "&amp;COLUMN(H20)+24</f>
        <v>Col 32</v>
      </c>
      <c r="I19" s="112" t="str">
        <f>"Col "&amp;COLUMN(I20)+24</f>
        <v>Col 33</v>
      </c>
      <c r="J19" s="112" t="str">
        <f>"Col "&amp;COLUMN(J20)+24</f>
        <v>Col 34</v>
      </c>
      <c r="K19" s="112" t="str">
        <f>"Col "&amp;COLUMN(K20)+24</f>
        <v>Col 35</v>
      </c>
      <c r="L19" s="112" t="str">
        <f>"Col "&amp;COLUMN(L20)+24</f>
        <v>Col 36</v>
      </c>
      <c r="M19" s="112" t="str">
        <f>"Col "&amp;COLUMN(M20)+24</f>
        <v>Col 37</v>
      </c>
      <c r="N19" s="112" t="str">
        <f>"Col "&amp;COLUMN(N20)+24</f>
        <v>Col 38</v>
      </c>
    </row>
    <row r="20" spans="1:14" s="75" customFormat="1" ht="126.6" customHeight="1">
      <c r="A20" s="112" t="s">
        <v>6</v>
      </c>
      <c r="B20" s="112" t="s">
        <v>6</v>
      </c>
      <c r="C20" s="21" t="s">
        <v>6</v>
      </c>
      <c r="D20" s="112" t="s">
        <v>6</v>
      </c>
      <c r="E20" s="120" t="str">
        <f>D19&amp;" X Category Relationship Unfreeze Factor X Net Contributor or Net Recipient Factor"</f>
        <v>Col 28 X Category Relationship Unfreeze Factor X Net Contributor or Net Recipient Factor</v>
      </c>
      <c r="F20" s="120" t="s">
        <v>6</v>
      </c>
      <c r="G20" s="120" t="str">
        <f>"("&amp;F19&amp;" / "&amp;E19&amp;")"&amp;" - 1"</f>
        <v>(Col 30 / Col 29) - 1</v>
      </c>
      <c r="H20" s="120" t="str">
        <f>"("&amp;F19&amp;" / "&amp;D19&amp;")"&amp;" - 1"</f>
        <v>(Col 30 / Col 28) - 1</v>
      </c>
      <c r="I20" s="121" t="s">
        <v>6</v>
      </c>
      <c r="J20" s="121" t="s">
        <v>6</v>
      </c>
      <c r="K20" s="121" t="s">
        <v>6</v>
      </c>
      <c r="L20" s="120" t="str">
        <f>"(("&amp;E19&amp;" X "&amp;I19&amp;") + ("&amp;E19&amp;" X "&amp;J19&amp;" X Appropriate Discount) + ("&amp;E19&amp;" X "&amp;K19&amp;" X Appropriate Discount))"</f>
        <v>((Col 29 X Col 33) + (Col 29 X Col 34 X Appropriate Discount) + (Col 29 X Col 35 X Appropriate Discount))</v>
      </c>
      <c r="M20" s="120" t="str">
        <f>"(("&amp;F19&amp;" X "&amp;I19&amp;") + ("&amp;F19&amp;" X "&amp;J19&amp;" X Appropriate Discount) + ("&amp;F19&amp;" X "&amp;K19&amp;" X Appropriate Discount))"</f>
        <v>((Col 30 X Col 33) + (Col 30 X Col 34 X Appropriate Discount) + (Col 30 X Col 35 X Appropriate Discount))</v>
      </c>
      <c r="N20" s="120" t="str">
        <f>M19&amp;" - "&amp;L19</f>
        <v>Col 37 - Col 36</v>
      </c>
    </row>
    <row r="21" spans="1:14" s="75" customFormat="1" ht="15">
      <c r="A21" s="122"/>
      <c r="B21" s="21" t="s">
        <v>48</v>
      </c>
      <c r="C21" s="21" t="s">
        <v>42</v>
      </c>
      <c r="D21" s="123"/>
      <c r="E21" s="123"/>
      <c r="F21" s="123"/>
      <c r="G21" s="123"/>
      <c r="H21" s="123"/>
      <c r="I21" s="124"/>
      <c r="J21" s="124"/>
      <c r="K21" s="124"/>
      <c r="L21" s="125"/>
      <c r="M21" s="125"/>
      <c r="N21" s="125"/>
    </row>
    <row r="22" spans="1:14" s="75" customFormat="1" ht="15">
      <c r="A22" s="122" t="s">
        <v>62</v>
      </c>
      <c r="B22" s="123" t="s">
        <v>63</v>
      </c>
      <c r="C22" s="126" t="s">
        <v>42</v>
      </c>
      <c r="D22" s="127">
        <v>5</v>
      </c>
      <c r="E22" s="127">
        <f>ROUND($D22*$B$9*$B$10,2)</f>
        <v>2.50</v>
      </c>
      <c r="F22" s="127">
        <v>2.50</v>
      </c>
      <c r="G22" s="128">
        <f>IFERROR(($F22/$E22)-1,0)</f>
        <v>0</v>
      </c>
      <c r="H22" s="128">
        <f>IFERROR(($F22/$D22)-1,0)</f>
        <v>-0.50</v>
      </c>
      <c r="I22" s="124">
        <v>100</v>
      </c>
      <c r="J22" s="124">
        <v>10</v>
      </c>
      <c r="K22" s="124">
        <v>5</v>
      </c>
      <c r="L22" s="129">
        <f>IFERROR((($E22*$I22)+($E22*$J22*0.8)+($E22*$K22*0.9)),0)</f>
        <v>281.25</v>
      </c>
      <c r="M22" s="129">
        <f>IFERROR((($F22*$I22)+($F22*$J22*0.8)+($F22*$K22*0.9)),0)</f>
        <v>281.25</v>
      </c>
      <c r="N22" s="129">
        <f>IFERROR($M22-$L22,0)</f>
        <v>0</v>
      </c>
    </row>
    <row r="23" spans="1:14" s="75" customFormat="1" ht="15">
      <c r="A23" s="122"/>
      <c r="B23" s="123"/>
      <c r="C23" s="126"/>
      <c r="D23" s="127"/>
      <c r="E23" s="127">
        <f t="shared" si="1" ref="E23:E26">ROUND($D23*$B$9*$B$10,2)</f>
        <v>0</v>
      </c>
      <c r="F23" s="127"/>
      <c r="G23" s="128">
        <f>IFERROR(($F23/$E23)-1,0)</f>
        <v>0</v>
      </c>
      <c r="H23" s="128">
        <f t="shared" si="2" ref="H23:H26">IFERROR(($F23/$D23)-1,0)</f>
        <v>0</v>
      </c>
      <c r="I23" s="124"/>
      <c r="J23" s="124"/>
      <c r="K23" s="124"/>
      <c r="L23" s="129">
        <f t="shared" si="3" ref="L23:L26">IFERROR((($E23*$I23)+($E23*$J23*0.8)+($E23*$K23*0.9)),0)</f>
        <v>0</v>
      </c>
      <c r="M23" s="129">
        <f t="shared" si="4" ref="M23:M26">IFERROR((($F23*$I23)+($F23*$J23*0.8)+($F23*$K23*0.9)),0)</f>
        <v>0</v>
      </c>
      <c r="N23" s="129">
        <f>IFERROR($M23-$L23,0)</f>
        <v>0</v>
      </c>
    </row>
    <row r="24" spans="1:14" s="75" customFormat="1" ht="15">
      <c r="A24" s="122"/>
      <c r="B24" s="123"/>
      <c r="C24" s="126"/>
      <c r="D24" s="127"/>
      <c r="E24" s="127">
        <f>ROUND($D24*$B$9*$B$10,2)</f>
        <v>0</v>
      </c>
      <c r="F24" s="127"/>
      <c r="G24" s="128">
        <f t="shared" si="5" ref="G24:G26">IFERROR(($F24/$E24)-1,0)</f>
        <v>0</v>
      </c>
      <c r="H24" s="128">
        <f>IFERROR(($F24/$D24)-1,0)</f>
        <v>0</v>
      </c>
      <c r="I24" s="124"/>
      <c r="J24" s="124"/>
      <c r="K24" s="124"/>
      <c r="L24" s="129">
        <f>IFERROR((($E24*$I24)+($E24*$J24*0.8)+($E24*$K24*0.9)),0)</f>
        <v>0</v>
      </c>
      <c r="M24" s="129">
        <f>IFERROR((($F24*$I24)+($F24*$J24*0.8)+($F24*$K24*0.9)),0)</f>
        <v>0</v>
      </c>
      <c r="N24" s="129">
        <f>IFERROR($M24-$L24,0)</f>
        <v>0</v>
      </c>
    </row>
    <row r="25" spans="1:14" s="75" customFormat="1" ht="15">
      <c r="A25" s="122"/>
      <c r="B25" s="123"/>
      <c r="C25" s="126"/>
      <c r="D25" s="127"/>
      <c r="E25" s="127">
        <f>ROUND($D25*$B$9*$B$10,2)</f>
        <v>0</v>
      </c>
      <c r="F25" s="127"/>
      <c r="G25" s="128">
        <f>IFERROR(($F25/$E25)-1,0)</f>
        <v>0</v>
      </c>
      <c r="H25" s="128">
        <f>IFERROR(($F25/$D25)-1,0)</f>
        <v>0</v>
      </c>
      <c r="I25" s="124"/>
      <c r="J25" s="124"/>
      <c r="K25" s="124"/>
      <c r="L25" s="129">
        <f>IFERROR((($E25*$I25)+($E25*$J25*0.8)+($E25*$K25*0.9)),0)</f>
        <v>0</v>
      </c>
      <c r="M25" s="129">
        <f>IFERROR((($F25*$I25)+($F25*$J25*0.8)+($F25*$K25*0.9)),0)</f>
        <v>0</v>
      </c>
      <c r="N25" s="129">
        <f>IFERROR($M25-$L25,0)</f>
        <v>0</v>
      </c>
    </row>
    <row r="26" spans="1:14" s="75" customFormat="1" ht="15">
      <c r="A26" s="122"/>
      <c r="B26" s="123"/>
      <c r="C26" s="126"/>
      <c r="D26" s="127"/>
      <c r="E26" s="127">
        <f>ROUND($D26*$B$9*$B$10,2)</f>
        <v>0</v>
      </c>
      <c r="F26" s="127"/>
      <c r="G26" s="128">
        <f>IFERROR(($F26/$E26)-1,0)</f>
        <v>0</v>
      </c>
      <c r="H26" s="128">
        <f>IFERROR(($F26/$D26)-1,0)</f>
        <v>0</v>
      </c>
      <c r="I26" s="124"/>
      <c r="J26" s="124"/>
      <c r="K26" s="124"/>
      <c r="L26" s="129">
        <f>IFERROR((($E26*$I26)+($E26*$J26*0.8)+($E26*$K26*0.9)),0)</f>
        <v>0</v>
      </c>
      <c r="M26" s="129">
        <f>IFERROR((($F26*$I26)+($F26*$J26*0.8)+($F26*$K26*0.9)),0)</f>
        <v>0</v>
      </c>
      <c r="N26" s="129">
        <f>IFERROR($M26-$L26,0)</f>
        <v>0</v>
      </c>
    </row>
    <row r="27" spans="1:14" s="75" customFormat="1" ht="15">
      <c r="A27" s="122"/>
      <c r="B27" s="21" t="s">
        <v>47</v>
      </c>
      <c r="C27" s="21" t="s">
        <v>43</v>
      </c>
      <c r="D27" s="127"/>
      <c r="E27" s="127"/>
      <c r="F27" s="127"/>
      <c r="G27" s="128"/>
      <c r="H27" s="128"/>
      <c r="I27" s="124"/>
      <c r="J27" s="124"/>
      <c r="K27" s="124"/>
      <c r="L27" s="125"/>
      <c r="M27" s="125"/>
      <c r="N27" s="125"/>
    </row>
    <row r="28" spans="1:14" s="75" customFormat="1" ht="15">
      <c r="A28" s="122" t="s">
        <v>62</v>
      </c>
      <c r="B28" s="123" t="s">
        <v>64</v>
      </c>
      <c r="C28" s="126" t="s">
        <v>43</v>
      </c>
      <c r="D28" s="127">
        <v>10</v>
      </c>
      <c r="E28" s="127">
        <f>ROUND($D28*$B$9*$B$10,2)</f>
        <v>5</v>
      </c>
      <c r="F28" s="127">
        <v>5</v>
      </c>
      <c r="G28" s="128">
        <f>IFERROR(($F28/$E28)-1,0)</f>
        <v>0</v>
      </c>
      <c r="H28" s="128">
        <f>IFERROR(($F28/$D28)-1,0)</f>
        <v>-0.50</v>
      </c>
      <c r="I28" s="124">
        <v>100</v>
      </c>
      <c r="J28" s="124">
        <v>10</v>
      </c>
      <c r="K28" s="124">
        <v>5</v>
      </c>
      <c r="L28" s="129">
        <f>IFERROR((($E28*$I28)+($E28*$J28*0.8)+($E28*$K28*0.9)),0)</f>
        <v>562.50</v>
      </c>
      <c r="M28" s="129">
        <f>IFERROR((($F28*$I28)+($F28*$J28*0.8)+($F28*$K28*0.9)),0)</f>
        <v>562.50</v>
      </c>
      <c r="N28" s="129">
        <f>IFERROR($M28-$L28,0)</f>
        <v>0</v>
      </c>
    </row>
    <row r="29" spans="1:14" s="75" customFormat="1" ht="15">
      <c r="A29" s="122"/>
      <c r="B29" s="123"/>
      <c r="C29" s="126"/>
      <c r="D29" s="127"/>
      <c r="E29" s="127">
        <f t="shared" si="6" ref="E29:E32">ROUND($D29*$B$9*$B$10,2)</f>
        <v>0</v>
      </c>
      <c r="F29" s="127"/>
      <c r="G29" s="128">
        <f>IFERROR(($F29/$E29)-1,0)</f>
        <v>0</v>
      </c>
      <c r="H29" s="128">
        <f t="shared" si="7" ref="H29:H32">IFERROR(($F29/$D29)-1,0)</f>
        <v>0</v>
      </c>
      <c r="I29" s="124"/>
      <c r="J29" s="124"/>
      <c r="K29" s="124"/>
      <c r="L29" s="129">
        <f t="shared" si="8" ref="L29:L32">IFERROR((($E29*$I29)+($E29*$J29*0.8)+($E29*$K29*0.9)),0)</f>
        <v>0</v>
      </c>
      <c r="M29" s="129">
        <f t="shared" si="9" ref="M29:M32">IFERROR((($F29*$I29)+($F29*$J29*0.8)+($F29*$K29*0.9)),0)</f>
        <v>0</v>
      </c>
      <c r="N29" s="129">
        <f>IFERROR($M29-$L29,0)</f>
        <v>0</v>
      </c>
    </row>
    <row r="30" spans="1:14" s="75" customFormat="1" ht="15">
      <c r="A30" s="122"/>
      <c r="B30" s="123"/>
      <c r="C30" s="126"/>
      <c r="D30" s="127"/>
      <c r="E30" s="127">
        <f>ROUND($D30*$B$9*$B$10,2)</f>
        <v>0</v>
      </c>
      <c r="F30" s="127"/>
      <c r="G30" s="128">
        <f t="shared" si="10" ref="G30:G32">IFERROR(($F30/$E30)-1,0)</f>
        <v>0</v>
      </c>
      <c r="H30" s="128">
        <f>IFERROR(($F30/$D30)-1,0)</f>
        <v>0</v>
      </c>
      <c r="I30" s="124"/>
      <c r="J30" s="124"/>
      <c r="K30" s="124"/>
      <c r="L30" s="129">
        <f>IFERROR((($E30*$I30)+($E30*$J30*0.8)+($E30*$K30*0.9)),0)</f>
        <v>0</v>
      </c>
      <c r="M30" s="129">
        <f>IFERROR((($F30*$I30)+($F30*$J30*0.8)+($F30*$K30*0.9)),0)</f>
        <v>0</v>
      </c>
      <c r="N30" s="129">
        <f>IFERROR($M30-$L30,0)</f>
        <v>0</v>
      </c>
    </row>
    <row r="31" spans="1:14" s="75" customFormat="1" ht="15">
      <c r="A31" s="122"/>
      <c r="B31" s="123"/>
      <c r="C31" s="126"/>
      <c r="D31" s="127"/>
      <c r="E31" s="127">
        <f>ROUND($D31*$B$9*$B$10,2)</f>
        <v>0</v>
      </c>
      <c r="F31" s="127"/>
      <c r="G31" s="128">
        <f>IFERROR(($F31/$E31)-1,0)</f>
        <v>0</v>
      </c>
      <c r="H31" s="128">
        <f>IFERROR(($F31/$D31)-1,0)</f>
        <v>0</v>
      </c>
      <c r="I31" s="124"/>
      <c r="J31" s="124"/>
      <c r="K31" s="124"/>
      <c r="L31" s="129">
        <f>IFERROR((($E31*$I31)+($E31*$J31*0.8)+($E31*$K31*0.9)),0)</f>
        <v>0</v>
      </c>
      <c r="M31" s="129">
        <f>IFERROR((($F31*$I31)+($F31*$J31*0.8)+($F31*$K31*0.9)),0)</f>
        <v>0</v>
      </c>
      <c r="N31" s="129">
        <f>IFERROR($M31-$L31,0)</f>
        <v>0</v>
      </c>
    </row>
    <row r="32" spans="1:14" s="75" customFormat="1" ht="15">
      <c r="A32" s="122"/>
      <c r="B32" s="123"/>
      <c r="C32" s="126"/>
      <c r="D32" s="127"/>
      <c r="E32" s="127">
        <f>ROUND($D32*$B$9*$B$10,2)</f>
        <v>0</v>
      </c>
      <c r="F32" s="127"/>
      <c r="G32" s="128">
        <f>IFERROR(($F32/$E32)-1,0)</f>
        <v>0</v>
      </c>
      <c r="H32" s="128">
        <f>IFERROR(($F32/$D32)-1,0)</f>
        <v>0</v>
      </c>
      <c r="I32" s="124"/>
      <c r="J32" s="124"/>
      <c r="K32" s="124"/>
      <c r="L32" s="129">
        <f>IFERROR((($E32*$I32)+($E32*$J32*0.8)+($E32*$K32*0.9)),0)</f>
        <v>0</v>
      </c>
      <c r="M32" s="129">
        <f>IFERROR((($F32*$I32)+($F32*$J32*0.8)+($F32*$K32*0.9)),0)</f>
        <v>0</v>
      </c>
      <c r="N32" s="129">
        <f>IFERROR($M32-$L32,0)</f>
        <v>0</v>
      </c>
    </row>
    <row r="33" spans="1:14" s="75" customFormat="1" ht="15">
      <c r="A33" s="122"/>
      <c r="B33" s="21" t="s">
        <v>46</v>
      </c>
      <c r="C33" s="21" t="s">
        <v>44</v>
      </c>
      <c r="D33" s="127"/>
      <c r="E33" s="127"/>
      <c r="F33" s="127"/>
      <c r="G33" s="128"/>
      <c r="H33" s="128"/>
      <c r="I33" s="124"/>
      <c r="J33" s="124"/>
      <c r="K33" s="124"/>
      <c r="L33" s="125"/>
      <c r="M33" s="125"/>
      <c r="N33" s="125"/>
    </row>
    <row r="34" spans="1:14" s="75" customFormat="1" ht="15">
      <c r="A34" s="122" t="s">
        <v>62</v>
      </c>
      <c r="B34" s="123" t="s">
        <v>65</v>
      </c>
      <c r="C34" s="126" t="s">
        <v>44</v>
      </c>
      <c r="D34" s="127">
        <v>15</v>
      </c>
      <c r="E34" s="127">
        <f>ROUND($D34*$B$9*$B$10,2)</f>
        <v>7.50</v>
      </c>
      <c r="F34" s="127">
        <v>7.50</v>
      </c>
      <c r="G34" s="128">
        <f>IFERROR(($F34/$E34)-1,0)</f>
        <v>0</v>
      </c>
      <c r="H34" s="128">
        <f>IFERROR(($F34/$D34)-1,0)</f>
        <v>-0.50</v>
      </c>
      <c r="I34" s="124">
        <v>100</v>
      </c>
      <c r="J34" s="124">
        <v>10</v>
      </c>
      <c r="K34" s="124">
        <v>5</v>
      </c>
      <c r="L34" s="129">
        <f>IFERROR((($E34*$I34)+($E34*$J34*0.8)+($E34*$K34*0.9)),0)</f>
        <v>843.75</v>
      </c>
      <c r="M34" s="129">
        <f>IFERROR((($F34*$I34)+($F34*$J34*0.8)+($F34*$K34*0.9)),0)</f>
        <v>843.75</v>
      </c>
      <c r="N34" s="129">
        <f>IFERROR($M34-$L34,0)</f>
        <v>0</v>
      </c>
    </row>
    <row r="35" spans="1:14" s="75" customFormat="1" ht="15">
      <c r="A35" s="122"/>
      <c r="B35" s="123"/>
      <c r="C35" s="126"/>
      <c r="D35" s="127"/>
      <c r="E35" s="127">
        <f t="shared" si="11" ref="E35:E38">ROUND($D35*$B$9*$B$10,2)</f>
        <v>0</v>
      </c>
      <c r="F35" s="127"/>
      <c r="G35" s="128">
        <f>IFERROR(($F35/$E35)-1,0)</f>
        <v>0</v>
      </c>
      <c r="H35" s="128">
        <f t="shared" si="12" ref="H35:H38">IFERROR(($F35/$D35)-1,0)</f>
        <v>0</v>
      </c>
      <c r="I35" s="124"/>
      <c r="J35" s="124"/>
      <c r="K35" s="124"/>
      <c r="L35" s="129">
        <f t="shared" si="13" ref="L35:L38">IFERROR((($E35*$I35)+($E35*$J35*0.8)+($E35*$K35*0.9)),0)</f>
        <v>0</v>
      </c>
      <c r="M35" s="129">
        <f t="shared" si="14" ref="M35:M38">IFERROR((($F35*$I35)+($F35*$J35*0.8)+($F35*$K35*0.9)),0)</f>
        <v>0</v>
      </c>
      <c r="N35" s="129">
        <f>IFERROR($M35-$L35,0)</f>
        <v>0</v>
      </c>
    </row>
    <row r="36" spans="1:14" s="75" customFormat="1" ht="15">
      <c r="A36" s="122"/>
      <c r="B36" s="123"/>
      <c r="C36" s="126"/>
      <c r="D36" s="127"/>
      <c r="E36" s="127">
        <f>ROUND($D36*$B$9*$B$10,2)</f>
        <v>0</v>
      </c>
      <c r="F36" s="127"/>
      <c r="G36" s="128">
        <f t="shared" si="15" ref="G36:G38">IFERROR(($F36/$E36)-1,0)</f>
        <v>0</v>
      </c>
      <c r="H36" s="128">
        <f>IFERROR(($F36/$D36)-1,0)</f>
        <v>0</v>
      </c>
      <c r="I36" s="124"/>
      <c r="J36" s="124"/>
      <c r="K36" s="124"/>
      <c r="L36" s="129">
        <f>IFERROR((($E36*$I36)+($E36*$J36*0.8)+($E36*$K36*0.9)),0)</f>
        <v>0</v>
      </c>
      <c r="M36" s="129">
        <f>IFERROR((($F36*$I36)+($F36*$J36*0.8)+($F36*$K36*0.9)),0)</f>
        <v>0</v>
      </c>
      <c r="N36" s="129">
        <f>IFERROR($M36-$L36,0)</f>
        <v>0</v>
      </c>
    </row>
    <row r="37" spans="1:14" s="75" customFormat="1" ht="15">
      <c r="A37" s="122"/>
      <c r="B37" s="123"/>
      <c r="C37" s="126"/>
      <c r="D37" s="127"/>
      <c r="E37" s="127">
        <f>ROUND($D37*$B$9*$B$10,2)</f>
        <v>0</v>
      </c>
      <c r="F37" s="127"/>
      <c r="G37" s="128">
        <f>IFERROR(($F37/$E37)-1,0)</f>
        <v>0</v>
      </c>
      <c r="H37" s="128">
        <f>IFERROR(($F37/$D37)-1,0)</f>
        <v>0</v>
      </c>
      <c r="I37" s="124"/>
      <c r="J37" s="124"/>
      <c r="K37" s="124"/>
      <c r="L37" s="129">
        <f>IFERROR((($E37*$I37)+($E37*$J37*0.8)+($E37*$K37*0.9)),0)</f>
        <v>0</v>
      </c>
      <c r="M37" s="129">
        <f>IFERROR((($F37*$I37)+($F37*$J37*0.8)+($F37*$K37*0.9)),0)</f>
        <v>0</v>
      </c>
      <c r="N37" s="129">
        <f>IFERROR($M37-$L37,0)</f>
        <v>0</v>
      </c>
    </row>
    <row r="38" spans="1:14" s="75" customFormat="1" ht="15">
      <c r="A38" s="122"/>
      <c r="B38" s="123"/>
      <c r="C38" s="126"/>
      <c r="D38" s="127"/>
      <c r="E38" s="127">
        <f>ROUND($D38*$B$9*$B$10,2)</f>
        <v>0</v>
      </c>
      <c r="F38" s="127"/>
      <c r="G38" s="128">
        <f>IFERROR(($F38/$E38)-1,0)</f>
        <v>0</v>
      </c>
      <c r="H38" s="128">
        <f>IFERROR(($F38/$D38)-1,0)</f>
        <v>0</v>
      </c>
      <c r="I38" s="124"/>
      <c r="J38" s="124"/>
      <c r="K38" s="124"/>
      <c r="L38" s="129">
        <f>IFERROR((($E38*$I38)+($E38*$J38*0.8)+($E38*$K38*0.9)),0)</f>
        <v>0</v>
      </c>
      <c r="M38" s="129">
        <f>IFERROR((($F38*$I38)+($F38*$J38*0.8)+($F38*$K38*0.9)),0)</f>
        <v>0</v>
      </c>
      <c r="N38" s="129">
        <f>IFERROR($M38-$L38,0)</f>
        <v>0</v>
      </c>
    </row>
    <row r="39" spans="1:14" s="75" customFormat="1" ht="15">
      <c r="A39" s="122"/>
      <c r="B39" s="21" t="s">
        <v>45</v>
      </c>
      <c r="C39" s="21" t="s">
        <v>61</v>
      </c>
      <c r="D39" s="127"/>
      <c r="E39" s="127"/>
      <c r="F39" s="127"/>
      <c r="G39" s="128"/>
      <c r="H39" s="128"/>
      <c r="I39" s="124"/>
      <c r="J39" s="124"/>
      <c r="K39" s="124"/>
      <c r="L39" s="125"/>
      <c r="M39" s="125"/>
      <c r="N39" s="125"/>
    </row>
    <row r="40" spans="1:14" s="75" customFormat="1" ht="15">
      <c r="A40" s="122" t="s">
        <v>62</v>
      </c>
      <c r="B40" s="123" t="s">
        <v>66</v>
      </c>
      <c r="C40" s="126" t="s">
        <v>61</v>
      </c>
      <c r="D40" s="127">
        <v>1</v>
      </c>
      <c r="E40" s="127">
        <f>ROUND($D40*$B$9*$B$10,2)</f>
        <v>0.50</v>
      </c>
      <c r="F40" s="127">
        <v>0.50</v>
      </c>
      <c r="G40" s="128">
        <f>IFERROR(($F40/$E40)-1,0)</f>
        <v>0</v>
      </c>
      <c r="H40" s="128">
        <f>IFERROR(($F40/$D40)-1,0)</f>
        <v>-0.50</v>
      </c>
      <c r="I40" s="124">
        <v>1</v>
      </c>
      <c r="J40" s="124">
        <v>0</v>
      </c>
      <c r="K40" s="124">
        <v>0</v>
      </c>
      <c r="L40" s="129">
        <f>IFERROR((($E40*$I40)+($E40*$J40*0.8)+($E40*$K40*0.9)),0)</f>
        <v>0.50</v>
      </c>
      <c r="M40" s="129">
        <f>IFERROR((($F40*$I40)+($F40*$J40*0.8)+($F40*$K40*0.9)),0)</f>
        <v>0.50</v>
      </c>
      <c r="N40" s="129">
        <f>IFERROR($M40-$L40,0)</f>
        <v>0</v>
      </c>
    </row>
    <row r="41" spans="1:14" s="75" customFormat="1" ht="15">
      <c r="A41" s="122"/>
      <c r="B41" s="123"/>
      <c r="C41" s="126"/>
      <c r="D41" s="127"/>
      <c r="E41" s="127">
        <f t="shared" si="16" ref="E41:E44">ROUND($D41*$B$9*$B$10,2)</f>
        <v>0</v>
      </c>
      <c r="F41" s="127"/>
      <c r="G41" s="128">
        <f>IFERROR(($F41/$E41)-1,0)</f>
        <v>0</v>
      </c>
      <c r="H41" s="128">
        <f t="shared" si="17" ref="H41:H44">IFERROR(($F41/$D41)-1,0)</f>
        <v>0</v>
      </c>
      <c r="I41" s="124"/>
      <c r="J41" s="124"/>
      <c r="K41" s="124"/>
      <c r="L41" s="129">
        <f t="shared" si="18" ref="L41:L44">IFERROR((($E41*$I41)+($E41*$J41*0.8)+($E41*$K41*0.9)),0)</f>
        <v>0</v>
      </c>
      <c r="M41" s="129">
        <f t="shared" si="19" ref="M41:M44">IFERROR((($F41*$I41)+($F41*$J41*0.8)+($F41*$K41*0.9)),0)</f>
        <v>0</v>
      </c>
      <c r="N41" s="129">
        <f>IFERROR($M41-$L41,0)</f>
        <v>0</v>
      </c>
    </row>
    <row r="42" spans="1:14" s="75" customFormat="1" ht="15">
      <c r="A42" s="122"/>
      <c r="B42" s="123"/>
      <c r="C42" s="126"/>
      <c r="D42" s="127"/>
      <c r="E42" s="127">
        <f>ROUND($D42*$B$9*$B$10,2)</f>
        <v>0</v>
      </c>
      <c r="F42" s="127"/>
      <c r="G42" s="128">
        <f t="shared" si="20" ref="G42:G44">IFERROR(($F42/$E42)-1,0)</f>
        <v>0</v>
      </c>
      <c r="H42" s="128">
        <f>IFERROR(($F42/$D42)-1,0)</f>
        <v>0</v>
      </c>
      <c r="I42" s="124"/>
      <c r="J42" s="124"/>
      <c r="K42" s="124"/>
      <c r="L42" s="129">
        <f>IFERROR((($E42*$I42)+($E42*$J42*0.8)+($E42*$K42*0.9)),0)</f>
        <v>0</v>
      </c>
      <c r="M42" s="129">
        <f>IFERROR((($F42*$I42)+($F42*$J42*0.8)+($F42*$K42*0.9)),0)</f>
        <v>0</v>
      </c>
      <c r="N42" s="129">
        <f>IFERROR($M42-$L42,0)</f>
        <v>0</v>
      </c>
    </row>
    <row r="43" spans="1:14" s="75" customFormat="1" ht="15">
      <c r="A43" s="122"/>
      <c r="B43" s="123"/>
      <c r="C43" s="126"/>
      <c r="D43" s="127"/>
      <c r="E43" s="127">
        <f>ROUND($D43*$B$9*$B$10,2)</f>
        <v>0</v>
      </c>
      <c r="F43" s="127"/>
      <c r="G43" s="128">
        <f>IFERROR(($F43/$E43)-1,0)</f>
        <v>0</v>
      </c>
      <c r="H43" s="128">
        <f>IFERROR(($F43/$D43)-1,0)</f>
        <v>0</v>
      </c>
      <c r="I43" s="124"/>
      <c r="J43" s="124"/>
      <c r="K43" s="124"/>
      <c r="L43" s="129">
        <f>IFERROR((($E43*$I43)+($E43*$J43*0.8)+($E43*$K43*0.9)),0)</f>
        <v>0</v>
      </c>
      <c r="M43" s="129">
        <f>IFERROR((($F43*$I43)+($F43*$J43*0.8)+($F43*$K43*0.9)),0)</f>
        <v>0</v>
      </c>
      <c r="N43" s="129">
        <f>IFERROR($M43-$L43,0)</f>
        <v>0</v>
      </c>
    </row>
    <row r="44" spans="1:14" s="75" customFormat="1" ht="15">
      <c r="A44" s="122"/>
      <c r="B44" s="123"/>
      <c r="C44" s="126"/>
      <c r="D44" s="127"/>
      <c r="E44" s="127">
        <f>ROUND($D44*$B$9*$B$10,2)</f>
        <v>0</v>
      </c>
      <c r="F44" s="127"/>
      <c r="G44" s="128">
        <f>IFERROR(($F44/$E44)-1,0)</f>
        <v>0</v>
      </c>
      <c r="H44" s="128">
        <f>IFERROR(($F44/$D44)-1,0)</f>
        <v>0</v>
      </c>
      <c r="I44" s="124"/>
      <c r="J44" s="124"/>
      <c r="K44" s="124"/>
      <c r="L44" s="129">
        <f>IFERROR((($E44*$I44)+($E44*$J44*0.8)+($E44*$K44*0.9)),0)</f>
        <v>0</v>
      </c>
      <c r="M44" s="129">
        <f>IFERROR((($F44*$I44)+($F44*$J44*0.8)+($F44*$K44*0.9)),0)</f>
        <v>0</v>
      </c>
      <c r="N44" s="129">
        <f>IFERROR($M44-$L44,0)</f>
        <v>0</v>
      </c>
    </row>
    <row r="45" spans="1:14" s="75" customFormat="1" ht="15">
      <c r="A45" s="122"/>
      <c r="B45" s="21" t="s">
        <v>50</v>
      </c>
      <c r="C45" s="21" t="s">
        <v>51</v>
      </c>
      <c r="D45" s="127"/>
      <c r="E45" s="127"/>
      <c r="F45" s="127"/>
      <c r="G45" s="128"/>
      <c r="H45" s="128"/>
      <c r="I45" s="124"/>
      <c r="J45" s="124"/>
      <c r="K45" s="124"/>
      <c r="L45" s="125"/>
      <c r="M45" s="125"/>
      <c r="N45" s="125"/>
    </row>
    <row r="46" spans="1:14" s="75" customFormat="1" ht="30">
      <c r="A46" s="122" t="s">
        <v>62</v>
      </c>
      <c r="B46" s="123" t="s">
        <v>67</v>
      </c>
      <c r="C46" s="126" t="s">
        <v>51</v>
      </c>
      <c r="D46" s="127">
        <v>20</v>
      </c>
      <c r="E46" s="127">
        <f>ROUND($D46*$B$9*$B$10,2)</f>
        <v>10</v>
      </c>
      <c r="F46" s="127">
        <v>10</v>
      </c>
      <c r="G46" s="128">
        <f>IFERROR(($F46/$E46)-1,0)</f>
        <v>0</v>
      </c>
      <c r="H46" s="128">
        <f>IFERROR(($F46/$D46)-1,0)</f>
        <v>-0.50</v>
      </c>
      <c r="I46" s="124">
        <v>100</v>
      </c>
      <c r="J46" s="124">
        <v>10</v>
      </c>
      <c r="K46" s="124">
        <v>5</v>
      </c>
      <c r="L46" s="129">
        <f>IFERROR((($E46*$I46)+($E46*$J46*0.8)+($E46*$K46*0.9)),0)</f>
        <v>1125</v>
      </c>
      <c r="M46" s="129">
        <f>IFERROR((($F46*$I46)+($F46*$J46*0.8)+($F46*$K46*0.9)),0)</f>
        <v>1125</v>
      </c>
      <c r="N46" s="129">
        <f>IFERROR($M46-$L46,0)</f>
        <v>0</v>
      </c>
    </row>
    <row r="47" spans="1:14" s="75" customFormat="1" ht="15">
      <c r="A47" s="122"/>
      <c r="B47" s="123"/>
      <c r="C47" s="126"/>
      <c r="D47" s="127"/>
      <c r="E47" s="127">
        <f t="shared" si="21" ref="E47:E50">ROUND($D47*$B$9*$B$10,2)</f>
        <v>0</v>
      </c>
      <c r="F47" s="127"/>
      <c r="G47" s="128">
        <f>IFERROR(($F47/$E47)-1,0)</f>
        <v>0</v>
      </c>
      <c r="H47" s="128">
        <f t="shared" si="22" ref="H47:H50">IFERROR(($F47/$D47)-1,0)</f>
        <v>0</v>
      </c>
      <c r="I47" s="124"/>
      <c r="J47" s="124"/>
      <c r="K47" s="124"/>
      <c r="L47" s="129">
        <f t="shared" si="23" ref="L47:L50">IFERROR((($E47*$I47)+($E47*$J47*0.8)+($E47*$K47*0.9)),0)</f>
        <v>0</v>
      </c>
      <c r="M47" s="129">
        <f t="shared" si="24" ref="M47:M50">IFERROR((($F47*$I47)+($F47*$J47*0.8)+($F47*$K47*0.9)),0)</f>
        <v>0</v>
      </c>
      <c r="N47" s="129">
        <f>IFERROR($M47-$L47,0)</f>
        <v>0</v>
      </c>
    </row>
    <row r="48" spans="1:14" s="75" customFormat="1" ht="15">
      <c r="A48" s="122"/>
      <c r="B48" s="123"/>
      <c r="C48" s="126"/>
      <c r="D48" s="127"/>
      <c r="E48" s="127">
        <f>ROUND($D48*$B$9*$B$10,2)</f>
        <v>0</v>
      </c>
      <c r="F48" s="127"/>
      <c r="G48" s="128">
        <f t="shared" si="25" ref="G48:G50">IFERROR(($F48/$E48)-1,0)</f>
        <v>0</v>
      </c>
      <c r="H48" s="128">
        <f>IFERROR(($F48/$D48)-1,0)</f>
        <v>0</v>
      </c>
      <c r="I48" s="124"/>
      <c r="J48" s="124"/>
      <c r="K48" s="124"/>
      <c r="L48" s="129">
        <f>IFERROR((($E48*$I48)+($E48*$J48*0.8)+($E48*$K48*0.9)),0)</f>
        <v>0</v>
      </c>
      <c r="M48" s="129">
        <f>IFERROR((($F48*$I48)+($F48*$J48*0.8)+($F48*$K48*0.9)),0)</f>
        <v>0</v>
      </c>
      <c r="N48" s="129">
        <f>IFERROR($M48-$L48,0)</f>
        <v>0</v>
      </c>
    </row>
    <row r="49" spans="1:14" s="75" customFormat="1" ht="15">
      <c r="A49" s="122"/>
      <c r="B49" s="123"/>
      <c r="C49" s="126"/>
      <c r="D49" s="127"/>
      <c r="E49" s="127">
        <f>ROUND($D49*$B$9*$B$10,2)</f>
        <v>0</v>
      </c>
      <c r="F49" s="127"/>
      <c r="G49" s="128">
        <f>IFERROR(($F49/$E49)-1,0)</f>
        <v>0</v>
      </c>
      <c r="H49" s="128">
        <f>IFERROR(($F49/$D49)-1,0)</f>
        <v>0</v>
      </c>
      <c r="I49" s="124"/>
      <c r="J49" s="124"/>
      <c r="K49" s="124"/>
      <c r="L49" s="129">
        <f>IFERROR((($E49*$I49)+($E49*$J49*0.8)+($E49*$K49*0.9)),0)</f>
        <v>0</v>
      </c>
      <c r="M49" s="129">
        <f>IFERROR((($F49*$I49)+($F49*$J49*0.8)+($F49*$K49*0.9)),0)</f>
        <v>0</v>
      </c>
      <c r="N49" s="129">
        <f>IFERROR($M49-$L49,0)</f>
        <v>0</v>
      </c>
    </row>
    <row r="50" spans="1:14" s="75" customFormat="1" ht="15">
      <c r="A50" s="122"/>
      <c r="B50" s="123"/>
      <c r="C50" s="126"/>
      <c r="D50" s="127"/>
      <c r="E50" s="127">
        <f>ROUND($D50*$B$9*$B$10,2)</f>
        <v>0</v>
      </c>
      <c r="F50" s="127"/>
      <c r="G50" s="128">
        <f>IFERROR(($F50/$E50)-1,0)</f>
        <v>0</v>
      </c>
      <c r="H50" s="128">
        <f>IFERROR(($F50/$D50)-1,0)</f>
        <v>0</v>
      </c>
      <c r="I50" s="124"/>
      <c r="J50" s="124"/>
      <c r="K50" s="124"/>
      <c r="L50" s="129">
        <f>IFERROR((($E50*$I50)+($E50*$J50*0.8)+($E50*$K50*0.9)),0)</f>
        <v>0</v>
      </c>
      <c r="M50" s="129">
        <f>IFERROR((($F50*$I50)+($F50*$J50*0.8)+($F50*$K50*0.9)),0)</f>
        <v>0</v>
      </c>
      <c r="N50" s="129">
        <f>IFERROR($M50-$L50,0)</f>
        <v>0</v>
      </c>
    </row>
    <row r="51" spans="1:14" s="75" customFormat="1" ht="15">
      <c r="A51" s="122"/>
      <c r="B51" s="21" t="s">
        <v>52</v>
      </c>
      <c r="C51" s="21" t="s">
        <v>53</v>
      </c>
      <c r="D51" s="127"/>
      <c r="E51" s="127"/>
      <c r="F51" s="127"/>
      <c r="G51" s="128"/>
      <c r="H51" s="128"/>
      <c r="I51" s="124"/>
      <c r="J51" s="124"/>
      <c r="K51" s="124"/>
      <c r="L51" s="125"/>
      <c r="M51" s="125"/>
      <c r="N51" s="125"/>
    </row>
    <row r="52" spans="1:14" s="75" customFormat="1" ht="15">
      <c r="A52" s="122" t="s">
        <v>62</v>
      </c>
      <c r="B52" s="123" t="s">
        <v>68</v>
      </c>
      <c r="C52" s="126" t="s">
        <v>53</v>
      </c>
      <c r="D52" s="127">
        <v>25</v>
      </c>
      <c r="E52" s="127">
        <f>ROUND($D52*$B$9*$B$10,2)</f>
        <v>12.50</v>
      </c>
      <c r="F52" s="127">
        <v>12.50</v>
      </c>
      <c r="G52" s="128">
        <f>IFERROR(($F52/$E52)-1,0)</f>
        <v>0</v>
      </c>
      <c r="H52" s="128">
        <f>IFERROR(($F52/$D52)-1,0)</f>
        <v>-0.50</v>
      </c>
      <c r="I52" s="124">
        <v>100</v>
      </c>
      <c r="J52" s="124">
        <v>10</v>
      </c>
      <c r="K52" s="124">
        <v>5</v>
      </c>
      <c r="L52" s="129">
        <f>IFERROR((($E52*$I52)+($E52*$J52*0.8)+($E52*$K52*0.9)),0)</f>
        <v>1406.25</v>
      </c>
      <c r="M52" s="129">
        <f>IFERROR((($F52*$I52)+($F52*$J52*0.8)+($F52*$K52*0.9)),0)</f>
        <v>1406.25</v>
      </c>
      <c r="N52" s="129">
        <f>IFERROR($M52-$L52,0)</f>
        <v>0</v>
      </c>
    </row>
    <row r="53" spans="1:14" s="75" customFormat="1" ht="15">
      <c r="A53" s="122"/>
      <c r="B53" s="123"/>
      <c r="C53" s="126"/>
      <c r="D53" s="127"/>
      <c r="E53" s="127">
        <f t="shared" si="26" ref="E53:E56">ROUND($D53*$B$9*$B$10,2)</f>
        <v>0</v>
      </c>
      <c r="F53" s="127"/>
      <c r="G53" s="128">
        <f>IFERROR(($F53/$E53)-1,0)</f>
        <v>0</v>
      </c>
      <c r="H53" s="128">
        <f t="shared" si="27" ref="H53:H56">IFERROR(($F53/$D53)-1,0)</f>
        <v>0</v>
      </c>
      <c r="I53" s="124"/>
      <c r="J53" s="124"/>
      <c r="K53" s="124"/>
      <c r="L53" s="129">
        <f t="shared" si="28" ref="L53:L56">IFERROR((($E53*$I53)+($E53*$J53*0.8)+($E53*$K53*0.9)),0)</f>
        <v>0</v>
      </c>
      <c r="M53" s="129">
        <f t="shared" si="29" ref="M53:M56">IFERROR((($F53*$I53)+($F53*$J53*0.8)+($F53*$K53*0.9)),0)</f>
        <v>0</v>
      </c>
      <c r="N53" s="129">
        <f>IFERROR($M53-$L53,0)</f>
        <v>0</v>
      </c>
    </row>
    <row r="54" spans="1:14" s="75" customFormat="1" ht="15">
      <c r="A54" s="122"/>
      <c r="B54" s="123"/>
      <c r="C54" s="126"/>
      <c r="D54" s="127"/>
      <c r="E54" s="127">
        <f>ROUND($D54*$B$9*$B$10,2)</f>
        <v>0</v>
      </c>
      <c r="F54" s="127"/>
      <c r="G54" s="128">
        <f t="shared" si="30" ref="G54:G56">IFERROR(($F54/$E54)-1,0)</f>
        <v>0</v>
      </c>
      <c r="H54" s="128">
        <f>IFERROR(($F54/$D54)-1,0)</f>
        <v>0</v>
      </c>
      <c r="I54" s="124"/>
      <c r="J54" s="124"/>
      <c r="K54" s="124"/>
      <c r="L54" s="129">
        <f>IFERROR((($E54*$I54)+($E54*$J54*0.8)+($E54*$K54*0.9)),0)</f>
        <v>0</v>
      </c>
      <c r="M54" s="129">
        <f>IFERROR((($F54*$I54)+($F54*$J54*0.8)+($F54*$K54*0.9)),0)</f>
        <v>0</v>
      </c>
      <c r="N54" s="129">
        <f>IFERROR($M54-$L54,0)</f>
        <v>0</v>
      </c>
    </row>
    <row r="55" spans="1:14" s="75" customFormat="1" ht="15">
      <c r="A55" s="122"/>
      <c r="B55" s="123"/>
      <c r="C55" s="126"/>
      <c r="D55" s="127"/>
      <c r="E55" s="127">
        <f>ROUND($D55*$B$9*$B$10,2)</f>
        <v>0</v>
      </c>
      <c r="F55" s="127"/>
      <c r="G55" s="128">
        <f>IFERROR(($F55/$E55)-1,0)</f>
        <v>0</v>
      </c>
      <c r="H55" s="128">
        <f>IFERROR(($F55/$D55)-1,0)</f>
        <v>0</v>
      </c>
      <c r="I55" s="124"/>
      <c r="J55" s="124"/>
      <c r="K55" s="124"/>
      <c r="L55" s="129">
        <f>IFERROR((($E55*$I55)+($E55*$J55*0.8)+($E55*$K55*0.9)),0)</f>
        <v>0</v>
      </c>
      <c r="M55" s="129">
        <f>IFERROR((($F55*$I55)+($F55*$J55*0.8)+($F55*$K55*0.9)),0)</f>
        <v>0</v>
      </c>
      <c r="N55" s="129">
        <f>IFERROR($M55-$L55,0)</f>
        <v>0</v>
      </c>
    </row>
    <row r="56" spans="1:14" s="75" customFormat="1" ht="15">
      <c r="A56" s="122"/>
      <c r="B56" s="123"/>
      <c r="C56" s="126"/>
      <c r="D56" s="127"/>
      <c r="E56" s="127">
        <f>ROUND($D56*$B$9*$B$10,2)</f>
        <v>0</v>
      </c>
      <c r="F56" s="127"/>
      <c r="G56" s="128">
        <f>IFERROR(($F56/$E56)-1,0)</f>
        <v>0</v>
      </c>
      <c r="H56" s="128">
        <f>IFERROR(($F56/$D56)-1,0)</f>
        <v>0</v>
      </c>
      <c r="I56" s="124"/>
      <c r="J56" s="124"/>
      <c r="K56" s="124"/>
      <c r="L56" s="129">
        <f>IFERROR((($E56*$I56)+($E56*$J56*0.8)+($E56*$K56*0.9)),0)</f>
        <v>0</v>
      </c>
      <c r="M56" s="129">
        <f>IFERROR((($F56*$I56)+($F56*$J56*0.8)+($F56*$K56*0.9)),0)</f>
        <v>0</v>
      </c>
      <c r="N56" s="129">
        <f>IFERROR($M56-$L56,0)</f>
        <v>0</v>
      </c>
    </row>
    <row r="57" spans="1:14" s="75" customFormat="1" ht="15">
      <c r="A57" s="122"/>
      <c r="B57" s="21" t="s">
        <v>54</v>
      </c>
      <c r="C57" s="21" t="s">
        <v>55</v>
      </c>
      <c r="D57" s="127"/>
      <c r="E57" s="127"/>
      <c r="F57" s="127"/>
      <c r="G57" s="128"/>
      <c r="H57" s="128"/>
      <c r="I57" s="124"/>
      <c r="J57" s="124"/>
      <c r="K57" s="124"/>
      <c r="L57" s="125"/>
      <c r="M57" s="125"/>
      <c r="N57" s="125"/>
    </row>
    <row r="58" spans="1:14" s="75" customFormat="1" ht="15">
      <c r="A58" s="122" t="s">
        <v>62</v>
      </c>
      <c r="B58" s="123" t="s">
        <v>69</v>
      </c>
      <c r="C58" s="126" t="s">
        <v>55</v>
      </c>
      <c r="D58" s="127">
        <v>30</v>
      </c>
      <c r="E58" s="127">
        <f>ROUND($D58*$B$9*$B$10,2)</f>
        <v>15</v>
      </c>
      <c r="F58" s="127">
        <v>15</v>
      </c>
      <c r="G58" s="128">
        <f>IFERROR(($F58/$E58)-1,0)</f>
        <v>0</v>
      </c>
      <c r="H58" s="128">
        <f>IFERROR(($F58/$D58)-1,0)</f>
        <v>-0.50</v>
      </c>
      <c r="I58" s="124">
        <v>100</v>
      </c>
      <c r="J58" s="124">
        <v>10</v>
      </c>
      <c r="K58" s="124">
        <v>5</v>
      </c>
      <c r="L58" s="129">
        <f>IFERROR((($E58*$I58)+($E58*$J58*0.8)+($E58*$K58*0.9)),0)</f>
        <v>1687.50</v>
      </c>
      <c r="M58" s="129">
        <f>IFERROR((($F58*$I58)+($F58*$J58*0.8)+($F58*$K58*0.9)),0)</f>
        <v>1687.50</v>
      </c>
      <c r="N58" s="129">
        <f>IFERROR($M58-$L58,0)</f>
        <v>0</v>
      </c>
    </row>
    <row r="59" spans="1:14" s="75" customFormat="1" ht="15">
      <c r="A59" s="122"/>
      <c r="B59" s="123"/>
      <c r="C59" s="126"/>
      <c r="D59" s="127"/>
      <c r="E59" s="127">
        <f t="shared" si="31" ref="E59:E62">ROUND($D59*$B$9*$B$10,2)</f>
        <v>0</v>
      </c>
      <c r="F59" s="127"/>
      <c r="G59" s="128">
        <f>IFERROR(($F59/$E59)-1,0)</f>
        <v>0</v>
      </c>
      <c r="H59" s="128">
        <f t="shared" si="32" ref="H59:H62">IFERROR(($F59/$D59)-1,0)</f>
        <v>0</v>
      </c>
      <c r="I59" s="124"/>
      <c r="J59" s="124"/>
      <c r="K59" s="124"/>
      <c r="L59" s="129">
        <f t="shared" si="33" ref="L59:L62">IFERROR((($E59*$I59)+($E59*$J59*0.8)+($E59*$K59*0.9)),0)</f>
        <v>0</v>
      </c>
      <c r="M59" s="129">
        <f t="shared" si="34" ref="M59:M62">IFERROR((($F59*$I59)+($F59*$J59*0.8)+($F59*$K59*0.9)),0)</f>
        <v>0</v>
      </c>
      <c r="N59" s="129">
        <f>IFERROR($M59-$L59,0)</f>
        <v>0</v>
      </c>
    </row>
    <row r="60" spans="1:14" s="75" customFormat="1" ht="15">
      <c r="A60" s="122"/>
      <c r="B60" s="123"/>
      <c r="C60" s="126"/>
      <c r="D60" s="127"/>
      <c r="E60" s="127">
        <f>ROUND($D60*$B$9*$B$10,2)</f>
        <v>0</v>
      </c>
      <c r="F60" s="127"/>
      <c r="G60" s="128">
        <f t="shared" si="35" ref="G60:G62">IFERROR(($F60/$E60)-1,0)</f>
        <v>0</v>
      </c>
      <c r="H60" s="128">
        <f>IFERROR(($F60/$D60)-1,0)</f>
        <v>0</v>
      </c>
      <c r="I60" s="124"/>
      <c r="J60" s="124"/>
      <c r="K60" s="124"/>
      <c r="L60" s="129">
        <f>IFERROR((($E60*$I60)+($E60*$J60*0.8)+($E60*$K60*0.9)),0)</f>
        <v>0</v>
      </c>
      <c r="M60" s="129">
        <f>IFERROR((($F60*$I60)+($F60*$J60*0.8)+($F60*$K60*0.9)),0)</f>
        <v>0</v>
      </c>
      <c r="N60" s="129">
        <f>IFERROR($M60-$L60,0)</f>
        <v>0</v>
      </c>
    </row>
    <row r="61" spans="1:14" s="75" customFormat="1" ht="15">
      <c r="A61" s="122"/>
      <c r="B61" s="123"/>
      <c r="C61" s="126"/>
      <c r="D61" s="127"/>
      <c r="E61" s="127">
        <f>ROUND($D61*$B$9*$B$10,2)</f>
        <v>0</v>
      </c>
      <c r="F61" s="127"/>
      <c r="G61" s="128">
        <f>IFERROR(($F61/$E61)-1,0)</f>
        <v>0</v>
      </c>
      <c r="H61" s="128">
        <f>IFERROR(($F61/$D61)-1,0)</f>
        <v>0</v>
      </c>
      <c r="I61" s="124"/>
      <c r="J61" s="124"/>
      <c r="K61" s="124"/>
      <c r="L61" s="129">
        <f>IFERROR((($E61*$I61)+($E61*$J61*0.8)+($E61*$K61*0.9)),0)</f>
        <v>0</v>
      </c>
      <c r="M61" s="129">
        <f>IFERROR((($F61*$I61)+($F61*$J61*0.8)+($F61*$K61*0.9)),0)</f>
        <v>0</v>
      </c>
      <c r="N61" s="129">
        <f>IFERROR($M61-$L61,0)</f>
        <v>0</v>
      </c>
    </row>
    <row r="62" spans="1:14" s="75" customFormat="1" ht="15">
      <c r="A62" s="122"/>
      <c r="B62" s="123"/>
      <c r="C62" s="126"/>
      <c r="D62" s="127"/>
      <c r="E62" s="127">
        <f>ROUND($D62*$B$9*$B$10,2)</f>
        <v>0</v>
      </c>
      <c r="F62" s="127"/>
      <c r="G62" s="128">
        <f>IFERROR(($F62/$E62)-1,0)</f>
        <v>0</v>
      </c>
      <c r="H62" s="128">
        <f>IFERROR(($F62/$D62)-1,0)</f>
        <v>0</v>
      </c>
      <c r="I62" s="124"/>
      <c r="J62" s="124"/>
      <c r="K62" s="124"/>
      <c r="L62" s="129">
        <f>IFERROR((($E62*$I62)+($E62*$J62*0.8)+($E62*$K62*0.9)),0)</f>
        <v>0</v>
      </c>
      <c r="M62" s="129">
        <f>IFERROR((($F62*$I62)+($F62*$J62*0.8)+($F62*$K62*0.9)),0)</f>
        <v>0</v>
      </c>
      <c r="N62" s="129">
        <f>IFERROR($M62-$L62,0)</f>
        <v>0</v>
      </c>
    </row>
    <row r="63" spans="1:14" s="75" customFormat="1" ht="15">
      <c r="A63" s="122"/>
      <c r="B63" s="21" t="s">
        <v>57</v>
      </c>
      <c r="C63" s="21" t="s">
        <v>58</v>
      </c>
      <c r="D63" s="127"/>
      <c r="E63" s="127"/>
      <c r="F63" s="127"/>
      <c r="G63" s="128"/>
      <c r="H63" s="128"/>
      <c r="I63" s="124"/>
      <c r="J63" s="124"/>
      <c r="K63" s="124"/>
      <c r="L63" s="125"/>
      <c r="M63" s="125"/>
      <c r="N63" s="125"/>
    </row>
    <row r="64" spans="1:14" s="75" customFormat="1" ht="15">
      <c r="A64" s="122" t="s">
        <v>62</v>
      </c>
      <c r="B64" s="123" t="s">
        <v>70</v>
      </c>
      <c r="C64" s="126" t="s">
        <v>58</v>
      </c>
      <c r="D64" s="127">
        <v>35</v>
      </c>
      <c r="E64" s="127">
        <f>ROUND($D64*$B$9*$B$10,2)</f>
        <v>17.50</v>
      </c>
      <c r="F64" s="127">
        <v>17.50</v>
      </c>
      <c r="G64" s="128">
        <f>IFERROR(($F64/$E64)-1,0)</f>
        <v>0</v>
      </c>
      <c r="H64" s="128">
        <f>IFERROR(($F64/$D64)-1,0)</f>
        <v>-0.50</v>
      </c>
      <c r="I64" s="124">
        <v>100</v>
      </c>
      <c r="J64" s="124">
        <v>10</v>
      </c>
      <c r="K64" s="124">
        <v>5</v>
      </c>
      <c r="L64" s="129">
        <f>IFERROR((($E64*$I64)+($E64*$J64*0.8)+($E64*$K64*0.9)),0)</f>
        <v>1968.75</v>
      </c>
      <c r="M64" s="129">
        <f>IFERROR((($F64*$I64)+($F64*$J64*0.8)+($F64*$K64*0.9)),0)</f>
        <v>1968.75</v>
      </c>
      <c r="N64" s="129">
        <f>IFERROR($M64-$L64,0)</f>
        <v>0</v>
      </c>
    </row>
    <row r="65" spans="1:14" s="75" customFormat="1" ht="15">
      <c r="A65" s="122"/>
      <c r="B65" s="123"/>
      <c r="C65" s="126"/>
      <c r="D65" s="127"/>
      <c r="E65" s="127">
        <f t="shared" si="36" ref="E65:E68">ROUND($D65*$B$9*$B$10,2)</f>
        <v>0</v>
      </c>
      <c r="F65" s="127"/>
      <c r="G65" s="128">
        <f>IFERROR(($F65/$E65)-1,0)</f>
        <v>0</v>
      </c>
      <c r="H65" s="128">
        <f t="shared" si="37" ref="H65:H68">IFERROR(($F65/$D65)-1,0)</f>
        <v>0</v>
      </c>
      <c r="I65" s="124"/>
      <c r="J65" s="124"/>
      <c r="K65" s="124"/>
      <c r="L65" s="129">
        <f t="shared" si="38" ref="L65:L68">IFERROR((($E65*$I65)+($E65*$J65*0.8)+($E65*$K65*0.9)),0)</f>
        <v>0</v>
      </c>
      <c r="M65" s="129">
        <f t="shared" si="39" ref="M65:M68">IFERROR((($F65*$I65)+($F65*$J65*0.8)+($F65*$K65*0.9)),0)</f>
        <v>0</v>
      </c>
      <c r="N65" s="129">
        <f>IFERROR($M65-$L65,0)</f>
        <v>0</v>
      </c>
    </row>
    <row r="66" spans="1:14" s="75" customFormat="1" ht="15">
      <c r="A66" s="122"/>
      <c r="B66" s="123"/>
      <c r="C66" s="126"/>
      <c r="D66" s="127"/>
      <c r="E66" s="127">
        <f>ROUND($D66*$B$9*$B$10,2)</f>
        <v>0</v>
      </c>
      <c r="F66" s="127"/>
      <c r="G66" s="128">
        <f t="shared" si="40" ref="G66:G68">IFERROR(($F66/$E66)-1,0)</f>
        <v>0</v>
      </c>
      <c r="H66" s="128">
        <f>IFERROR(($F66/$D66)-1,0)</f>
        <v>0</v>
      </c>
      <c r="I66" s="124"/>
      <c r="J66" s="124"/>
      <c r="K66" s="124"/>
      <c r="L66" s="129">
        <f>IFERROR((($E66*$I66)+($E66*$J66*0.8)+($E66*$K66*0.9)),0)</f>
        <v>0</v>
      </c>
      <c r="M66" s="129">
        <f>IFERROR((($F66*$I66)+($F66*$J66*0.8)+($F66*$K66*0.9)),0)</f>
        <v>0</v>
      </c>
      <c r="N66" s="129">
        <f>IFERROR($M66-$L66,0)</f>
        <v>0</v>
      </c>
    </row>
    <row r="67" spans="1:14" s="75" customFormat="1" ht="15">
      <c r="A67" s="122"/>
      <c r="B67" s="123"/>
      <c r="C67" s="126"/>
      <c r="D67" s="127"/>
      <c r="E67" s="127">
        <f>ROUND($D67*$B$9*$B$10,2)</f>
        <v>0</v>
      </c>
      <c r="F67" s="127"/>
      <c r="G67" s="128">
        <f>IFERROR(($F67/$E67)-1,0)</f>
        <v>0</v>
      </c>
      <c r="H67" s="128">
        <f>IFERROR(($F67/$D67)-1,0)</f>
        <v>0</v>
      </c>
      <c r="I67" s="124"/>
      <c r="J67" s="124"/>
      <c r="K67" s="124"/>
      <c r="L67" s="129">
        <f>IFERROR((($E67*$I67)+($E67*$J67*0.8)+($E67*$K67*0.9)),0)</f>
        <v>0</v>
      </c>
      <c r="M67" s="129">
        <f>IFERROR((($F67*$I67)+($F67*$J67*0.8)+($F67*$K67*0.9)),0)</f>
        <v>0</v>
      </c>
      <c r="N67" s="129">
        <f>IFERROR($M67-$L67,0)</f>
        <v>0</v>
      </c>
    </row>
    <row r="68" spans="1:14" s="75" customFormat="1" ht="15">
      <c r="A68" s="122"/>
      <c r="B68" s="123"/>
      <c r="C68" s="126"/>
      <c r="D68" s="127"/>
      <c r="E68" s="127">
        <f>ROUND($D68*$B$9*$B$10,2)</f>
        <v>0</v>
      </c>
      <c r="F68" s="127"/>
      <c r="G68" s="128">
        <f>IFERROR(($F68/$E68)-1,0)</f>
        <v>0</v>
      </c>
      <c r="H68" s="128">
        <f>IFERROR(($F68/$D68)-1,0)</f>
        <v>0</v>
      </c>
      <c r="I68" s="124"/>
      <c r="J68" s="124"/>
      <c r="K68" s="124"/>
      <c r="L68" s="129">
        <f>IFERROR((($E68*$I68)+($E68*$J68*0.8)+($E68*$K68*0.9)),0)</f>
        <v>0</v>
      </c>
      <c r="M68" s="129">
        <f>IFERROR((($F68*$I68)+($F68*$J68*0.8)+($F68*$K68*0.9)),0)</f>
        <v>0</v>
      </c>
      <c r="N68" s="129">
        <f>IFERROR($M68-$L68,0)</f>
        <v>0</v>
      </c>
    </row>
    <row r="69" spans="1:14" s="75" customFormat="1" ht="30">
      <c r="A69" s="122"/>
      <c r="B69" s="21" t="s">
        <v>59</v>
      </c>
      <c r="C69" s="21" t="s">
        <v>60</v>
      </c>
      <c r="D69" s="127"/>
      <c r="E69" s="127"/>
      <c r="F69" s="127"/>
      <c r="G69" s="128"/>
      <c r="H69" s="128"/>
      <c r="I69" s="124"/>
      <c r="J69" s="124"/>
      <c r="K69" s="124"/>
      <c r="L69" s="125"/>
      <c r="M69" s="125"/>
      <c r="N69" s="125"/>
    </row>
    <row r="70" spans="1:14" s="75" customFormat="1" ht="15">
      <c r="A70" s="122" t="s">
        <v>62</v>
      </c>
      <c r="B70" s="123" t="s">
        <v>71</v>
      </c>
      <c r="C70" s="126" t="s">
        <v>60</v>
      </c>
      <c r="D70" s="127">
        <v>40</v>
      </c>
      <c r="E70" s="127">
        <f>ROUND($D70*$B$9*$B$10,2)</f>
        <v>20</v>
      </c>
      <c r="F70" s="127">
        <v>20</v>
      </c>
      <c r="G70" s="128">
        <f>IFERROR(($F70/$E70)-1,0)</f>
        <v>0</v>
      </c>
      <c r="H70" s="128">
        <f>IFERROR(($F70/$D70)-1,0)</f>
        <v>-0.50</v>
      </c>
      <c r="I70" s="124">
        <v>100</v>
      </c>
      <c r="J70" s="124">
        <v>10</v>
      </c>
      <c r="K70" s="124">
        <v>5</v>
      </c>
      <c r="L70" s="129">
        <f>IFERROR((($E70*$I70)+($E70*$J70*0.8)+($E70*$K70*0.9)),0)</f>
        <v>2250</v>
      </c>
      <c r="M70" s="129">
        <f>IFERROR((($F70*$I70)+($F70*$J70*0.8)+($F70*$K70*0.9)),0)</f>
        <v>2250</v>
      </c>
      <c r="N70" s="129">
        <f>IFERROR($M70-$L70,0)</f>
        <v>0</v>
      </c>
    </row>
    <row r="71" spans="1:14" s="75" customFormat="1" ht="15">
      <c r="A71" s="122"/>
      <c r="B71" s="123"/>
      <c r="C71" s="126"/>
      <c r="D71" s="127"/>
      <c r="E71" s="127">
        <f t="shared" si="41" ref="E71:E74">ROUND($D71*$B$9*$B$10,2)</f>
        <v>0</v>
      </c>
      <c r="F71" s="127"/>
      <c r="G71" s="128">
        <f>IFERROR(($F71/$E71)-1,0)</f>
        <v>0</v>
      </c>
      <c r="H71" s="128">
        <f t="shared" si="42" ref="H71:H74">IFERROR(($F71/$D71)-1,0)</f>
        <v>0</v>
      </c>
      <c r="I71" s="124"/>
      <c r="J71" s="124"/>
      <c r="K71" s="124"/>
      <c r="L71" s="129">
        <f t="shared" si="43" ref="L71:L74">IFERROR((($E71*$I71)+($E71*$J71*0.8)+($E71*$K71*0.9)),0)</f>
        <v>0</v>
      </c>
      <c r="M71" s="129">
        <f t="shared" si="44" ref="M71:M74">IFERROR((($F71*$I71)+($F71*$J71*0.8)+($F71*$K71*0.9)),0)</f>
        <v>0</v>
      </c>
      <c r="N71" s="129">
        <f>IFERROR($M71-$L71,0)</f>
        <v>0</v>
      </c>
    </row>
    <row r="72" spans="1:14" s="75" customFormat="1" ht="15">
      <c r="A72" s="122"/>
      <c r="B72" s="123"/>
      <c r="C72" s="126"/>
      <c r="D72" s="127"/>
      <c r="E72" s="127">
        <f>ROUND($D72*$B$9*$B$10,2)</f>
        <v>0</v>
      </c>
      <c r="F72" s="127"/>
      <c r="G72" s="128">
        <f t="shared" si="45" ref="G72:G74">IFERROR(($F72/$E72)-1,0)</f>
        <v>0</v>
      </c>
      <c r="H72" s="128">
        <f>IFERROR(($F72/$D72)-1,0)</f>
        <v>0</v>
      </c>
      <c r="I72" s="124"/>
      <c r="J72" s="124"/>
      <c r="K72" s="124"/>
      <c r="L72" s="129">
        <f>IFERROR((($E72*$I72)+($E72*$J72*0.8)+($E72*$K72*0.9)),0)</f>
        <v>0</v>
      </c>
      <c r="M72" s="129">
        <f>IFERROR((($F72*$I72)+($F72*$J72*0.8)+($F72*$K72*0.9)),0)</f>
        <v>0</v>
      </c>
      <c r="N72" s="129">
        <f>IFERROR($M72-$L72,0)</f>
        <v>0</v>
      </c>
    </row>
    <row r="73" spans="1:14" s="75" customFormat="1" ht="15">
      <c r="A73" s="122"/>
      <c r="B73" s="123"/>
      <c r="C73" s="126"/>
      <c r="D73" s="127"/>
      <c r="E73" s="127">
        <f>ROUND($D73*$B$9*$B$10,2)</f>
        <v>0</v>
      </c>
      <c r="F73" s="127"/>
      <c r="G73" s="128">
        <f>IFERROR(($F73/$E73)-1,0)</f>
        <v>0</v>
      </c>
      <c r="H73" s="128">
        <f>IFERROR(($F73/$D73)-1,0)</f>
        <v>0</v>
      </c>
      <c r="I73" s="124"/>
      <c r="J73" s="124"/>
      <c r="K73" s="124"/>
      <c r="L73" s="129">
        <f>IFERROR((($E73*$I73)+($E73*$J73*0.8)+($E73*$K73*0.9)),0)</f>
        <v>0</v>
      </c>
      <c r="M73" s="129">
        <f>IFERROR((($F73*$I73)+($F73*$J73*0.8)+($F73*$K73*0.9)),0)</f>
        <v>0</v>
      </c>
      <c r="N73" s="129">
        <f>IFERROR($M73-$L73,0)</f>
        <v>0</v>
      </c>
    </row>
    <row r="74" spans="1:14" s="75" customFormat="1" ht="15">
      <c r="A74" s="122"/>
      <c r="B74" s="123"/>
      <c r="C74" s="126"/>
      <c r="D74" s="127"/>
      <c r="E74" s="127">
        <f>ROUND($D74*$B$9*$B$10,2)</f>
        <v>0</v>
      </c>
      <c r="F74" s="127"/>
      <c r="G74" s="128">
        <f>IFERROR(($F74/$E74)-1,0)</f>
        <v>0</v>
      </c>
      <c r="H74" s="128">
        <f>IFERROR(($F74/$D74)-1,0)</f>
        <v>0</v>
      </c>
      <c r="I74" s="124"/>
      <c r="J74" s="124"/>
      <c r="K74" s="124"/>
      <c r="L74" s="129">
        <f>IFERROR((($E74*$I74)+($E74*$J74*0.8)+($E74*$K74*0.9)),0)</f>
        <v>0</v>
      </c>
      <c r="M74" s="129">
        <f>IFERROR((($F74*$I74)+($F74*$J74*0.8)+($F74*$K74*0.9)),0)</f>
        <v>0</v>
      </c>
      <c r="N74" s="129">
        <f>IFERROR($M74-$L74,0)</f>
        <v>0</v>
      </c>
    </row>
    <row r="75" spans="1:14" s="75" customFormat="1" ht="30">
      <c r="A75" s="122"/>
      <c r="B75" s="21" t="s">
        <v>78</v>
      </c>
      <c r="C75" s="21" t="s">
        <v>80</v>
      </c>
      <c r="D75" s="127"/>
      <c r="E75" s="127"/>
      <c r="F75" s="127"/>
      <c r="G75" s="128"/>
      <c r="H75" s="128"/>
      <c r="I75" s="124"/>
      <c r="J75" s="124"/>
      <c r="K75" s="124"/>
      <c r="L75" s="125"/>
      <c r="M75" s="125"/>
      <c r="N75" s="125"/>
    </row>
    <row r="76" spans="1:14" s="75" customFormat="1" ht="15">
      <c r="A76" s="122" t="s">
        <v>62</v>
      </c>
      <c r="B76" s="123" t="s">
        <v>79</v>
      </c>
      <c r="C76" s="126" t="s">
        <v>80</v>
      </c>
      <c r="D76" s="127">
        <v>40</v>
      </c>
      <c r="E76" s="127">
        <f>ROUND($D76*$B$9*$B$10,2)</f>
        <v>20</v>
      </c>
      <c r="F76" s="127">
        <v>20</v>
      </c>
      <c r="G76" s="128">
        <f>IFERROR(($F76/$E76)-1,0)</f>
        <v>0</v>
      </c>
      <c r="H76" s="128">
        <f>IFERROR(($F76/$D76)-1,0)</f>
        <v>-0.50</v>
      </c>
      <c r="I76" s="124">
        <v>100</v>
      </c>
      <c r="J76" s="124">
        <v>10</v>
      </c>
      <c r="K76" s="124">
        <v>5</v>
      </c>
      <c r="L76" s="129">
        <f>IFERROR((($E76*$I76)+($E76*$J76*0.8)+($E76*$K76*0.9)),0)</f>
        <v>2250</v>
      </c>
      <c r="M76" s="129">
        <f>IFERROR((($F76*$I76)+($F76*$J76*0.8)+($F76*$K76*0.9)),0)</f>
        <v>2250</v>
      </c>
      <c r="N76" s="129">
        <f>IFERROR($M76-$L76,0)</f>
        <v>0</v>
      </c>
    </row>
    <row r="77" spans="1:14" s="75" customFormat="1" ht="15">
      <c r="A77" s="122"/>
      <c r="B77" s="123"/>
      <c r="C77" s="126"/>
      <c r="D77" s="127"/>
      <c r="E77" s="127">
        <f t="shared" si="46" ref="E77:E80">ROUND($D77*$B$9*$B$10,2)</f>
        <v>0</v>
      </c>
      <c r="F77" s="127"/>
      <c r="G77" s="128">
        <f>IFERROR(($F77/$E77)-1,0)</f>
        <v>0</v>
      </c>
      <c r="H77" s="128">
        <f t="shared" si="47" ref="H77:H80">IFERROR(($F77/$D77)-1,0)</f>
        <v>0</v>
      </c>
      <c r="I77" s="124"/>
      <c r="J77" s="124"/>
      <c r="K77" s="124"/>
      <c r="L77" s="129">
        <f t="shared" si="48" ref="L77:L80">IFERROR((($E77*$I77)+($E77*$J77*0.8)+($E77*$K77*0.9)),0)</f>
        <v>0</v>
      </c>
      <c r="M77" s="129">
        <f t="shared" si="49" ref="M77:M80">IFERROR((($F77*$I77)+($F77*$J77*0.8)+($F77*$K77*0.9)),0)</f>
        <v>0</v>
      </c>
      <c r="N77" s="129">
        <f>IFERROR($M77-$L77,0)</f>
        <v>0</v>
      </c>
    </row>
    <row r="78" spans="1:14" s="75" customFormat="1" ht="15">
      <c r="A78" s="122"/>
      <c r="B78" s="123"/>
      <c r="C78" s="126"/>
      <c r="D78" s="127"/>
      <c r="E78" s="127">
        <f>ROUND($D78*$B$9*$B$10,2)</f>
        <v>0</v>
      </c>
      <c r="F78" s="127"/>
      <c r="G78" s="128">
        <f t="shared" si="50" ref="G78:G80">IFERROR(($F78/$E78)-1,0)</f>
        <v>0</v>
      </c>
      <c r="H78" s="128">
        <f>IFERROR(($F78/$D78)-1,0)</f>
        <v>0</v>
      </c>
      <c r="I78" s="124"/>
      <c r="J78" s="124"/>
      <c r="K78" s="124"/>
      <c r="L78" s="129">
        <f>IFERROR((($E78*$I78)+($E78*$J78*0.8)+($E78*$K78*0.9)),0)</f>
        <v>0</v>
      </c>
      <c r="M78" s="129">
        <f>IFERROR((($F78*$I78)+($F78*$J78*0.8)+($F78*$K78*0.9)),0)</f>
        <v>0</v>
      </c>
      <c r="N78" s="129">
        <f>IFERROR($M78-$L78,0)</f>
        <v>0</v>
      </c>
    </row>
    <row r="79" spans="1:14" s="75" customFormat="1" ht="15">
      <c r="A79" s="122"/>
      <c r="B79" s="123"/>
      <c r="C79" s="126"/>
      <c r="D79" s="127"/>
      <c r="E79" s="127">
        <f>ROUND($D79*$B$9*$B$10,2)</f>
        <v>0</v>
      </c>
      <c r="F79" s="127"/>
      <c r="G79" s="128">
        <f>IFERROR(($F79/$E79)-1,0)</f>
        <v>0</v>
      </c>
      <c r="H79" s="128">
        <f>IFERROR(($F79/$D79)-1,0)</f>
        <v>0</v>
      </c>
      <c r="I79" s="124"/>
      <c r="J79" s="124"/>
      <c r="K79" s="124"/>
      <c r="L79" s="129">
        <f>IFERROR((($E79*$I79)+($E79*$J79*0.8)+($E79*$K79*0.9)),0)</f>
        <v>0</v>
      </c>
      <c r="M79" s="129">
        <f>IFERROR((($F79*$I79)+($F79*$J79*0.8)+($F79*$K79*0.9)),0)</f>
        <v>0</v>
      </c>
      <c r="N79" s="129">
        <f>IFERROR($M79-$L79,0)</f>
        <v>0</v>
      </c>
    </row>
    <row r="80" spans="1:14" s="75" customFormat="1" ht="15">
      <c r="A80" s="122"/>
      <c r="B80" s="123"/>
      <c r="C80" s="126"/>
      <c r="D80" s="127"/>
      <c r="E80" s="127">
        <f>ROUND($D80*$B$9*$B$10,2)</f>
        <v>0</v>
      </c>
      <c r="F80" s="127"/>
      <c r="G80" s="128">
        <f>IFERROR(($F80/$E80)-1,0)</f>
        <v>0</v>
      </c>
      <c r="H80" s="128">
        <f>IFERROR(($F80/$D80)-1,0)</f>
        <v>0</v>
      </c>
      <c r="I80" s="124"/>
      <c r="J80" s="124"/>
      <c r="K80" s="124"/>
      <c r="L80" s="129">
        <f>IFERROR((($E80*$I80)+($E80*$J80*0.8)+($E80*$K80*0.9)),0)</f>
        <v>0</v>
      </c>
      <c r="M80" s="129">
        <f>IFERROR((($F80*$I80)+($F80*$J80*0.8)+($F80*$K80*0.9)),0)</f>
        <v>0</v>
      </c>
      <c r="N80" s="129">
        <f>IFERROR($M80-$L80,0)</f>
        <v>0</v>
      </c>
    </row>
    <row r="81" spans="1:14" s="75" customFormat="1" ht="15">
      <c r="A81" s="232"/>
      <c r="C81" s="108"/>
      <c r="D81" s="233"/>
      <c r="E81" s="233"/>
      <c r="F81" s="233"/>
      <c r="G81" s="234"/>
      <c r="H81" s="234"/>
      <c r="I81" s="235"/>
      <c r="J81" s="235"/>
      <c r="K81" s="235"/>
      <c r="L81" s="236"/>
      <c r="M81" s="236"/>
      <c r="N81" s="236"/>
    </row>
    <row r="82" spans="1:14" s="75" customFormat="1" ht="15">
      <c r="A82" s="232"/>
      <c r="C82" s="108"/>
      <c r="D82" s="233"/>
      <c r="E82" s="233"/>
      <c r="F82" s="233"/>
      <c r="G82" s="234"/>
      <c r="H82" s="234"/>
      <c r="I82" s="235"/>
      <c r="J82" s="235"/>
      <c r="K82" s="235"/>
      <c r="L82" s="236"/>
      <c r="M82" s="236"/>
      <c r="N82" s="236"/>
    </row>
    <row r="83" spans="13:16" ht="15.75" thickBot="1">
      <c r="M83" s="100"/>
      <c r="N83" s="100"/>
      <c r="O83" s="100"/>
      <c r="P83" s="100"/>
    </row>
    <row r="84" spans="1:16" ht="14.45" customHeight="1">
      <c r="A84" s="307" t="s">
        <v>26</v>
      </c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9"/>
      <c r="M84" s="97"/>
      <c r="N84" s="97"/>
      <c r="O84" s="97"/>
      <c r="P84" s="97"/>
    </row>
    <row r="85" spans="1:16" ht="14.45" customHeight="1" thickBot="1">
      <c r="A85" s="310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2"/>
      <c r="M85" s="97"/>
      <c r="N85" s="97"/>
      <c r="O85" s="97"/>
      <c r="P85" s="97"/>
    </row>
    <row r="86" spans="1:16" s="101" customFormat="1" ht="14.4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4:13" ht="15.75">
      <c r="D87" s="133"/>
      <c r="E87" s="133"/>
      <c r="F87" s="133"/>
      <c r="G87" s="133"/>
      <c r="H87" s="109"/>
      <c r="I87" s="134"/>
      <c r="J87" s="306" t="s">
        <v>21</v>
      </c>
      <c r="K87" s="306"/>
      <c r="L87" s="306"/>
      <c r="M87" s="111"/>
    </row>
    <row r="88" spans="1:15" ht="92.45" customHeight="1">
      <c r="A88" s="112" t="s">
        <v>29</v>
      </c>
      <c r="B88" s="112" t="s">
        <v>23</v>
      </c>
      <c r="C88" s="113" t="s">
        <v>4</v>
      </c>
      <c r="D88" s="114" t="s">
        <v>94</v>
      </c>
      <c r="E88" s="114" t="s">
        <v>95</v>
      </c>
      <c r="F88" s="114" t="s">
        <v>96</v>
      </c>
      <c r="G88" s="114" t="s">
        <v>97</v>
      </c>
      <c r="H88" s="114" t="s">
        <v>98</v>
      </c>
      <c r="I88" s="115" t="s">
        <v>107</v>
      </c>
      <c r="J88" s="117" t="s">
        <v>102</v>
      </c>
      <c r="K88" s="117" t="s">
        <v>36</v>
      </c>
      <c r="L88" s="114" t="s">
        <v>108</v>
      </c>
      <c r="M88" s="78"/>
      <c r="N88" s="78"/>
      <c r="O88" s="78"/>
    </row>
    <row r="89" spans="1:15" ht="15">
      <c r="A89" s="135"/>
      <c r="B89" s="136"/>
      <c r="C89" s="137" t="str">
        <f>"Col "&amp;COLUMN(C89)+36</f>
        <v>Col 39</v>
      </c>
      <c r="D89" s="137" t="str">
        <f t="shared" si="51" ref="D89:L89">"Col "&amp;COLUMN(D89)+36</f>
        <v>Col 40</v>
      </c>
      <c r="E89" s="137" t="str">
        <f>"Col "&amp;COLUMN(E89)+36</f>
        <v>Col 41</v>
      </c>
      <c r="F89" s="137" t="str">
        <f>"Col "&amp;COLUMN(F89)+36</f>
        <v>Col 42</v>
      </c>
      <c r="G89" s="137" t="str">
        <f>"Col "&amp;COLUMN(G89)+36</f>
        <v>Col 43</v>
      </c>
      <c r="H89" s="137" t="str">
        <f>"Col "&amp;COLUMN(H89)+36</f>
        <v>Col 44</v>
      </c>
      <c r="I89" s="137" t="str">
        <f>"Col "&amp;COLUMN(I89)+36</f>
        <v>Col 45</v>
      </c>
      <c r="J89" s="137" t="str">
        <f>"Col "&amp;COLUMN(J89)+36</f>
        <v>Col 46</v>
      </c>
      <c r="K89" s="137" t="str">
        <f>"Col "&amp;COLUMN(K89)+36</f>
        <v>Col 47</v>
      </c>
      <c r="L89" s="137" t="str">
        <f>"Col "&amp;COLUMN(L89)+36</f>
        <v>Col 48</v>
      </c>
      <c r="M89" s="78"/>
      <c r="N89" s="78"/>
      <c r="O89" s="78"/>
    </row>
    <row r="90" spans="1:15" ht="120">
      <c r="A90" s="112" t="s">
        <v>6</v>
      </c>
      <c r="B90" s="112" t="s">
        <v>6</v>
      </c>
      <c r="C90" s="138" t="s">
        <v>6</v>
      </c>
      <c r="D90" s="114" t="s">
        <v>6</v>
      </c>
      <c r="E90" s="114" t="str">
        <f>D89&amp;" X Category Relationship Unfreeze Factor X Net Contributor or Net Recipient Factor"</f>
        <v>Col 40 X Category Relationship Unfreeze Factor X Net Contributor or Net Recipient Factor</v>
      </c>
      <c r="F90" s="114" t="s">
        <v>6</v>
      </c>
      <c r="G90" s="114" t="str">
        <f>"("&amp;F89&amp;" / "&amp;E89&amp;") - 1"</f>
        <v>(Col 42 / Col 41) - 1</v>
      </c>
      <c r="H90" s="114" t="str">
        <f>"("&amp;F89&amp;" / "&amp;D89&amp;") - 1"</f>
        <v>(Col 42 / Col 40) - 1</v>
      </c>
      <c r="I90" s="114" t="s">
        <v>6</v>
      </c>
      <c r="J90" s="139" t="str">
        <f>E89&amp;" X "&amp;I89</f>
        <v>Col 41 X Col 45</v>
      </c>
      <c r="K90" s="139" t="str">
        <f>F89&amp;" X "&amp;I89</f>
        <v>Col 42 X Col 45</v>
      </c>
      <c r="L90" s="140" t="str">
        <f>K89&amp;" - "&amp;J89</f>
        <v>Col 47 - Col 46</v>
      </c>
      <c r="M90" s="75"/>
      <c r="N90" s="75"/>
      <c r="O90" s="75"/>
    </row>
    <row r="91" spans="1:15" ht="15">
      <c r="A91" s="122"/>
      <c r="B91" s="21" t="s">
        <v>48</v>
      </c>
      <c r="C91" s="21" t="s">
        <v>42</v>
      </c>
      <c r="D91" s="141"/>
      <c r="E91" s="141"/>
      <c r="F91" s="141"/>
      <c r="G91" s="141"/>
      <c r="H91" s="141"/>
      <c r="I91" s="142"/>
      <c r="J91" s="143"/>
      <c r="K91" s="143"/>
      <c r="L91" s="143"/>
      <c r="M91" s="77"/>
      <c r="N91" s="77"/>
      <c r="O91" s="77"/>
    </row>
    <row r="92" spans="1:12" s="101" customFormat="1" ht="15">
      <c r="A92" s="122" t="s">
        <v>62</v>
      </c>
      <c r="B92" s="123" t="s">
        <v>63</v>
      </c>
      <c r="C92" s="126" t="s">
        <v>42</v>
      </c>
      <c r="D92" s="127">
        <v>300</v>
      </c>
      <c r="E92" s="127">
        <f>ROUND($D92*$B$9*$B$10,2)</f>
        <v>150</v>
      </c>
      <c r="F92" s="127">
        <v>150</v>
      </c>
      <c r="G92" s="144">
        <f>IFERROR(($F92/$E92)-1,0)</f>
        <v>0</v>
      </c>
      <c r="H92" s="144">
        <f>IFERROR((F92/D92)-1,0)</f>
        <v>-0.50</v>
      </c>
      <c r="I92" s="145">
        <v>100</v>
      </c>
      <c r="J92" s="146">
        <f>IFERROR($E92*$I92,0)</f>
        <v>15000</v>
      </c>
      <c r="K92" s="146">
        <f>IFERROR($F92*$I92,0)</f>
        <v>15000</v>
      </c>
      <c r="L92" s="146">
        <f>IFERROR(K92-J92,0)</f>
        <v>0</v>
      </c>
    </row>
    <row r="93" spans="1:12" s="101" customFormat="1" ht="15">
      <c r="A93" s="122"/>
      <c r="B93" s="123"/>
      <c r="C93" s="126"/>
      <c r="D93" s="147"/>
      <c r="E93" s="127">
        <f t="shared" si="52" ref="E93:E96">ROUND($D93*$B$9*$B$10,2)</f>
        <v>0</v>
      </c>
      <c r="F93" s="147"/>
      <c r="G93" s="144">
        <f t="shared" si="53" ref="G93:G96">IFERROR(($F93/$E93)-1,0)</f>
        <v>0</v>
      </c>
      <c r="H93" s="144">
        <f t="shared" si="54" ref="H93:H96">IFERROR((F93/D93)-1,0)</f>
        <v>0</v>
      </c>
      <c r="I93" s="145"/>
      <c r="J93" s="146">
        <f t="shared" si="55" ref="J93:J96">IFERROR($E93*$I93,0)</f>
        <v>0</v>
      </c>
      <c r="K93" s="146">
        <f t="shared" si="56" ref="K93:K96">IFERROR($F93*$I93,0)</f>
        <v>0</v>
      </c>
      <c r="L93" s="146">
        <f t="shared" si="57" ref="L93:L96">IFERROR(K93-J93,0)</f>
        <v>0</v>
      </c>
    </row>
    <row r="94" spans="1:12" s="101" customFormat="1" ht="15">
      <c r="A94" s="122"/>
      <c r="B94" s="123"/>
      <c r="C94" s="126"/>
      <c r="D94" s="148"/>
      <c r="E94" s="127">
        <f>ROUND($D94*$B$9*$B$10,2)</f>
        <v>0</v>
      </c>
      <c r="F94" s="148"/>
      <c r="G94" s="144">
        <f>IFERROR(($F94/$E94)-1,0)</f>
        <v>0</v>
      </c>
      <c r="H94" s="144">
        <f>IFERROR((F94/D94)-1,0)</f>
        <v>0</v>
      </c>
      <c r="I94" s="145"/>
      <c r="J94" s="146">
        <f>IFERROR($E94*$I94,0)</f>
        <v>0</v>
      </c>
      <c r="K94" s="146">
        <f>IFERROR($F94*$I94,0)</f>
        <v>0</v>
      </c>
      <c r="L94" s="146">
        <f>IFERROR(K94-J94,0)</f>
        <v>0</v>
      </c>
    </row>
    <row r="95" spans="1:12" s="101" customFormat="1" ht="15">
      <c r="A95" s="122"/>
      <c r="B95" s="123"/>
      <c r="C95" s="126"/>
      <c r="D95" s="147"/>
      <c r="E95" s="127">
        <f>ROUND($D95*$B$9*$B$10,2)</f>
        <v>0</v>
      </c>
      <c r="F95" s="147"/>
      <c r="G95" s="144">
        <f>IFERROR(($F95/$E95)-1,0)</f>
        <v>0</v>
      </c>
      <c r="H95" s="144">
        <f>IFERROR((F95/D95)-1,0)</f>
        <v>0</v>
      </c>
      <c r="I95" s="145"/>
      <c r="J95" s="146">
        <f>IFERROR($E95*$I95,0)</f>
        <v>0</v>
      </c>
      <c r="K95" s="146">
        <f>IFERROR($F95*$I95,0)</f>
        <v>0</v>
      </c>
      <c r="L95" s="146">
        <f>IFERROR(K95-J95,0)</f>
        <v>0</v>
      </c>
    </row>
    <row r="96" spans="1:15" ht="15">
      <c r="A96" s="122"/>
      <c r="B96" s="123"/>
      <c r="C96" s="126"/>
      <c r="D96" s="147"/>
      <c r="E96" s="127">
        <f>ROUND($D96*$B$9*$B$10,2)</f>
        <v>0</v>
      </c>
      <c r="F96" s="147"/>
      <c r="G96" s="144">
        <f>IFERROR(($F96/$E96)-1,0)</f>
        <v>0</v>
      </c>
      <c r="H96" s="144">
        <f>IFERROR((F96/D96)-1,0)</f>
        <v>0</v>
      </c>
      <c r="I96" s="149"/>
      <c r="J96" s="146">
        <f>IFERROR($E96*$I96,0)</f>
        <v>0</v>
      </c>
      <c r="K96" s="146">
        <f>IFERROR($F96*$I96,0)</f>
        <v>0</v>
      </c>
      <c r="L96" s="146">
        <f>IFERROR(K96-J96,0)</f>
        <v>0</v>
      </c>
      <c r="M96" s="131"/>
      <c r="N96" s="131"/>
      <c r="O96" s="131"/>
    </row>
    <row r="97" spans="1:13" ht="15">
      <c r="A97" s="122"/>
      <c r="B97" s="21" t="s">
        <v>47</v>
      </c>
      <c r="C97" s="21" t="s">
        <v>43</v>
      </c>
      <c r="D97" s="147"/>
      <c r="E97" s="147"/>
      <c r="F97" s="147"/>
      <c r="G97" s="147"/>
      <c r="H97" s="147"/>
      <c r="I97" s="149"/>
      <c r="J97" s="149"/>
      <c r="K97" s="150"/>
      <c r="L97" s="151"/>
      <c r="M97" s="40"/>
    </row>
    <row r="98" spans="1:13" ht="15">
      <c r="A98" s="122" t="s">
        <v>62</v>
      </c>
      <c r="B98" s="123" t="s">
        <v>64</v>
      </c>
      <c r="C98" s="126" t="s">
        <v>43</v>
      </c>
      <c r="D98" s="127">
        <v>325</v>
      </c>
      <c r="E98" s="127">
        <f>ROUND($D98*$B$9*$B$10,2)</f>
        <v>162.50</v>
      </c>
      <c r="F98" s="127">
        <v>162.50</v>
      </c>
      <c r="G98" s="144">
        <f>IFERROR(($F98/$E98)-1,0)</f>
        <v>0</v>
      </c>
      <c r="H98" s="144">
        <f>IFERROR((F98/D98)-1,0)</f>
        <v>-0.50</v>
      </c>
      <c r="I98" s="145">
        <v>90</v>
      </c>
      <c r="J98" s="146">
        <f>IFERROR($E98*$I98,0)</f>
        <v>14625</v>
      </c>
      <c r="K98" s="146">
        <f>IFERROR($F98*$I98,0)</f>
        <v>14625</v>
      </c>
      <c r="L98" s="146">
        <f>IFERROR(K98-J98,0)</f>
        <v>0</v>
      </c>
      <c r="M98" s="40"/>
    </row>
    <row r="99" spans="1:13" ht="15">
      <c r="A99" s="122"/>
      <c r="B99" s="123"/>
      <c r="C99" s="126"/>
      <c r="D99" s="147"/>
      <c r="E99" s="127">
        <f t="shared" si="58" ref="E99:E102">ROUND($D99*$B$9*$B$10,2)</f>
        <v>0</v>
      </c>
      <c r="F99" s="147"/>
      <c r="G99" s="144">
        <f>IFERROR(($F99/$E99)-1,0)</f>
        <v>0</v>
      </c>
      <c r="H99" s="144">
        <f t="shared" si="59" ref="H99:H102">IFERROR((F99/D99)-1,0)</f>
        <v>0</v>
      </c>
      <c r="I99" s="145"/>
      <c r="J99" s="146">
        <f>IFERROR($E99*$I99,0)</f>
        <v>0</v>
      </c>
      <c r="K99" s="146">
        <f>IFERROR($F99*$I99,0)</f>
        <v>0</v>
      </c>
      <c r="L99" s="146">
        <f t="shared" si="60" ref="L99:L102">IFERROR(K99-J99,0)</f>
        <v>0</v>
      </c>
      <c r="M99" s="40"/>
    </row>
    <row r="100" spans="1:13" ht="15">
      <c r="A100" s="122"/>
      <c r="B100" s="123"/>
      <c r="C100" s="126"/>
      <c r="D100" s="148"/>
      <c r="E100" s="127">
        <f>ROUND($D100*$B$9*$B$10,2)</f>
        <v>0</v>
      </c>
      <c r="F100" s="148"/>
      <c r="G100" s="144">
        <f>IFERROR(($F100/$E100)-1,0)</f>
        <v>0</v>
      </c>
      <c r="H100" s="144">
        <f>IFERROR((F100/D100)-1,0)</f>
        <v>0</v>
      </c>
      <c r="I100" s="145"/>
      <c r="J100" s="146">
        <f>IFERROR($E100*$I100,0)</f>
        <v>0</v>
      </c>
      <c r="K100" s="146">
        <f>IFERROR($F100*$I100,0)</f>
        <v>0</v>
      </c>
      <c r="L100" s="146">
        <f>IFERROR(K100-J100,0)</f>
        <v>0</v>
      </c>
      <c r="M100" s="40"/>
    </row>
    <row r="101" spans="1:12" ht="15">
      <c r="A101" s="122"/>
      <c r="B101" s="123"/>
      <c r="C101" s="126"/>
      <c r="D101" s="147"/>
      <c r="E101" s="127">
        <f>ROUND($D101*$B$9*$B$10,2)</f>
        <v>0</v>
      </c>
      <c r="F101" s="147"/>
      <c r="G101" s="144">
        <f>IFERROR(($F101/$E101)-1,0)</f>
        <v>0</v>
      </c>
      <c r="H101" s="144">
        <f>IFERROR((F101/D101)-1,0)</f>
        <v>0</v>
      </c>
      <c r="I101" s="145"/>
      <c r="J101" s="146">
        <f>IFERROR($E101*$I101,0)</f>
        <v>0</v>
      </c>
      <c r="K101" s="146">
        <f>IFERROR($F101*$I101,0)</f>
        <v>0</v>
      </c>
      <c r="L101" s="146">
        <f>IFERROR(K101-J101,0)</f>
        <v>0</v>
      </c>
    </row>
    <row r="102" spans="1:12" ht="15">
      <c r="A102" s="122"/>
      <c r="B102" s="123"/>
      <c r="C102" s="126"/>
      <c r="D102" s="147"/>
      <c r="E102" s="127">
        <f>ROUND($D102*$B$9*$B$10,2)</f>
        <v>0</v>
      </c>
      <c r="F102" s="147"/>
      <c r="G102" s="144">
        <f>IFERROR(($F102/$E102)-1,0)</f>
        <v>0</v>
      </c>
      <c r="H102" s="144">
        <f>IFERROR((F102/D102)-1,0)</f>
        <v>0</v>
      </c>
      <c r="I102" s="149"/>
      <c r="J102" s="146">
        <f>IFERROR($E102*$I102,0)</f>
        <v>0</v>
      </c>
      <c r="K102" s="146">
        <f>IFERROR($F102*$I102,0)</f>
        <v>0</v>
      </c>
      <c r="L102" s="146">
        <f>IFERROR(K102-J102,0)</f>
        <v>0</v>
      </c>
    </row>
    <row r="103" spans="1:12" ht="15">
      <c r="A103" s="122"/>
      <c r="B103" s="21" t="s">
        <v>46</v>
      </c>
      <c r="C103" s="21" t="s">
        <v>44</v>
      </c>
      <c r="D103" s="147"/>
      <c r="E103" s="147"/>
      <c r="F103" s="147"/>
      <c r="G103" s="147"/>
      <c r="H103" s="147"/>
      <c r="I103" s="149"/>
      <c r="J103" s="149"/>
      <c r="K103" s="150"/>
      <c r="L103" s="151"/>
    </row>
    <row r="104" spans="1:12" ht="15">
      <c r="A104" s="122" t="s">
        <v>62</v>
      </c>
      <c r="B104" s="123" t="s">
        <v>65</v>
      </c>
      <c r="C104" s="126" t="s">
        <v>44</v>
      </c>
      <c r="D104" s="127">
        <v>350</v>
      </c>
      <c r="E104" s="127">
        <f>ROUND($D104*$B$9*$B$10,2)</f>
        <v>175</v>
      </c>
      <c r="F104" s="127">
        <v>175</v>
      </c>
      <c r="G104" s="144">
        <f>IFERROR(($F104/$E104)-1,0)</f>
        <v>0</v>
      </c>
      <c r="H104" s="144">
        <f>IFERROR((F104/D104)-1,0)</f>
        <v>-0.50</v>
      </c>
      <c r="I104" s="145">
        <v>80</v>
      </c>
      <c r="J104" s="146">
        <f>IFERROR($E104*$I104,0)</f>
        <v>14000</v>
      </c>
      <c r="K104" s="146">
        <f>IFERROR($F104*$I104,0)</f>
        <v>14000</v>
      </c>
      <c r="L104" s="146">
        <f>IFERROR(K104-J104,0)</f>
        <v>0</v>
      </c>
    </row>
    <row r="105" spans="1:12" ht="15">
      <c r="A105" s="122"/>
      <c r="B105" s="123"/>
      <c r="C105" s="126"/>
      <c r="D105" s="147"/>
      <c r="E105" s="127">
        <f t="shared" si="61" ref="E105:E108">ROUND($D105*$B$9*$B$10,2)</f>
        <v>0</v>
      </c>
      <c r="F105" s="147"/>
      <c r="G105" s="144">
        <f>IFERROR(($F105/$E105)-1,0)</f>
        <v>0</v>
      </c>
      <c r="H105" s="144">
        <f t="shared" si="62" ref="H105:H108">IFERROR((F105/D105)-1,0)</f>
        <v>0</v>
      </c>
      <c r="I105" s="145"/>
      <c r="J105" s="146">
        <f>IFERROR($E105*$I105,0)</f>
        <v>0</v>
      </c>
      <c r="K105" s="146">
        <f>IFERROR($F105*$I105,0)</f>
        <v>0</v>
      </c>
      <c r="L105" s="146">
        <f t="shared" si="63" ref="L105:L108">IFERROR(K105-J105,0)</f>
        <v>0</v>
      </c>
    </row>
    <row r="106" spans="1:12" ht="15">
      <c r="A106" s="122"/>
      <c r="B106" s="123"/>
      <c r="C106" s="126"/>
      <c r="D106" s="148"/>
      <c r="E106" s="127">
        <f>ROUND($D106*$B$9*$B$10,2)</f>
        <v>0</v>
      </c>
      <c r="F106" s="148"/>
      <c r="G106" s="144">
        <f>IFERROR(($F106/$E106)-1,0)</f>
        <v>0</v>
      </c>
      <c r="H106" s="144">
        <f>IFERROR((F106/D106)-1,0)</f>
        <v>0</v>
      </c>
      <c r="I106" s="145"/>
      <c r="J106" s="146">
        <f>IFERROR($E106*$I106,0)</f>
        <v>0</v>
      </c>
      <c r="K106" s="146">
        <f>IFERROR($F106*$I106,0)</f>
        <v>0</v>
      </c>
      <c r="L106" s="146">
        <f>IFERROR(K106-J106,0)</f>
        <v>0</v>
      </c>
    </row>
    <row r="107" spans="1:12" ht="15">
      <c r="A107" s="122"/>
      <c r="B107" s="123"/>
      <c r="C107" s="126"/>
      <c r="D107" s="147"/>
      <c r="E107" s="127">
        <f>ROUND($D107*$B$9*$B$10,2)</f>
        <v>0</v>
      </c>
      <c r="F107" s="147"/>
      <c r="G107" s="144">
        <f>IFERROR(($F107/$E107)-1,0)</f>
        <v>0</v>
      </c>
      <c r="H107" s="144">
        <f>IFERROR((F107/D107)-1,0)</f>
        <v>0</v>
      </c>
      <c r="I107" s="145"/>
      <c r="J107" s="146">
        <f>IFERROR($E107*$I107,0)</f>
        <v>0</v>
      </c>
      <c r="K107" s="146">
        <f>IFERROR($F107*$I107,0)</f>
        <v>0</v>
      </c>
      <c r="L107" s="146">
        <f>IFERROR(K107-J107,0)</f>
        <v>0</v>
      </c>
    </row>
    <row r="108" spans="1:12" ht="15">
      <c r="A108" s="122"/>
      <c r="B108" s="123"/>
      <c r="C108" s="126"/>
      <c r="D108" s="147"/>
      <c r="E108" s="127">
        <f>ROUND($D108*$B$9*$B$10,2)</f>
        <v>0</v>
      </c>
      <c r="F108" s="147"/>
      <c r="G108" s="144">
        <f>IFERROR(($F108/$E108)-1,0)</f>
        <v>0</v>
      </c>
      <c r="H108" s="144">
        <f>IFERROR((F108/D108)-1,0)</f>
        <v>0</v>
      </c>
      <c r="I108" s="149"/>
      <c r="J108" s="146">
        <f>IFERROR($E108*$I108,0)</f>
        <v>0</v>
      </c>
      <c r="K108" s="146">
        <f>IFERROR($F108*$I108,0)</f>
        <v>0</v>
      </c>
      <c r="L108" s="146">
        <f>IFERROR(K108-J108,0)</f>
        <v>0</v>
      </c>
    </row>
    <row r="109" spans="1:12" ht="15">
      <c r="A109" s="122"/>
      <c r="B109" s="21" t="s">
        <v>45</v>
      </c>
      <c r="C109" s="21" t="s">
        <v>61</v>
      </c>
      <c r="D109" s="147"/>
      <c r="E109" s="147"/>
      <c r="F109" s="147"/>
      <c r="G109" s="147"/>
      <c r="H109" s="147"/>
      <c r="I109" s="149"/>
      <c r="J109" s="149"/>
      <c r="K109" s="150"/>
      <c r="L109" s="151"/>
    </row>
    <row r="110" spans="1:12" ht="15">
      <c r="A110" s="122" t="s">
        <v>62</v>
      </c>
      <c r="B110" s="123" t="s">
        <v>66</v>
      </c>
      <c r="C110" s="126" t="s">
        <v>61</v>
      </c>
      <c r="D110" s="127">
        <v>375</v>
      </c>
      <c r="E110" s="127">
        <f>ROUND($D110*$B$9*$B$10,2)</f>
        <v>187.50</v>
      </c>
      <c r="F110" s="127">
        <v>187.50</v>
      </c>
      <c r="G110" s="144">
        <f>IFERROR(($F110/$E110)-1,0)</f>
        <v>0</v>
      </c>
      <c r="H110" s="144">
        <f>IFERROR((F110/D110)-1,0)</f>
        <v>-0.50</v>
      </c>
      <c r="I110" s="145">
        <v>1</v>
      </c>
      <c r="J110" s="146">
        <f>IFERROR($E110*$I110,0)</f>
        <v>187.50</v>
      </c>
      <c r="K110" s="146">
        <f>IFERROR($F110*$I110,0)</f>
        <v>187.50</v>
      </c>
      <c r="L110" s="146">
        <f>IFERROR(K110-J110,0)</f>
        <v>0</v>
      </c>
    </row>
    <row r="111" spans="1:12" ht="15">
      <c r="A111" s="122"/>
      <c r="B111" s="123"/>
      <c r="C111" s="126"/>
      <c r="D111" s="147"/>
      <c r="E111" s="127">
        <f t="shared" si="64" ref="E111:E114">ROUND($D111*$B$9*$B$10,2)</f>
        <v>0</v>
      </c>
      <c r="F111" s="147"/>
      <c r="G111" s="144">
        <f>IFERROR(($F111/$E111)-1,0)</f>
        <v>0</v>
      </c>
      <c r="H111" s="144">
        <f t="shared" si="65" ref="H111:H114">IFERROR((F111/D111)-1,0)</f>
        <v>0</v>
      </c>
      <c r="I111" s="145"/>
      <c r="J111" s="146">
        <f>IFERROR($E111*$I111,0)</f>
        <v>0</v>
      </c>
      <c r="K111" s="146">
        <f>IFERROR($F111*$I111,0)</f>
        <v>0</v>
      </c>
      <c r="L111" s="146">
        <f t="shared" si="66" ref="L111:L114">IFERROR(K111-J111,0)</f>
        <v>0</v>
      </c>
    </row>
    <row r="112" spans="1:12" ht="15">
      <c r="A112" s="122"/>
      <c r="B112" s="123"/>
      <c r="C112" s="126"/>
      <c r="D112" s="148"/>
      <c r="E112" s="127">
        <f>ROUND($D112*$B$9*$B$10,2)</f>
        <v>0</v>
      </c>
      <c r="F112" s="148"/>
      <c r="G112" s="144">
        <f>IFERROR(($F112/$E112)-1,0)</f>
        <v>0</v>
      </c>
      <c r="H112" s="144">
        <f>IFERROR((F112/D112)-1,0)</f>
        <v>0</v>
      </c>
      <c r="I112" s="145"/>
      <c r="J112" s="146">
        <f>IFERROR($E112*$I112,0)</f>
        <v>0</v>
      </c>
      <c r="K112" s="146">
        <f>IFERROR($F112*$I112,0)</f>
        <v>0</v>
      </c>
      <c r="L112" s="146">
        <f>IFERROR(K112-J112,0)</f>
        <v>0</v>
      </c>
    </row>
    <row r="113" spans="1:12" ht="15">
      <c r="A113" s="122"/>
      <c r="B113" s="123"/>
      <c r="C113" s="126"/>
      <c r="D113" s="147"/>
      <c r="E113" s="127">
        <f>ROUND($D113*$B$9*$B$10,2)</f>
        <v>0</v>
      </c>
      <c r="F113" s="147"/>
      <c r="G113" s="144">
        <f>IFERROR(($F113/$E113)-1,0)</f>
        <v>0</v>
      </c>
      <c r="H113" s="144">
        <f>IFERROR((F113/D113)-1,0)</f>
        <v>0</v>
      </c>
      <c r="I113" s="145"/>
      <c r="J113" s="146">
        <f>IFERROR($E113*$I113,0)</f>
        <v>0</v>
      </c>
      <c r="K113" s="146">
        <f>IFERROR($F113*$I113,0)</f>
        <v>0</v>
      </c>
      <c r="L113" s="146">
        <f>IFERROR(K113-J113,0)</f>
        <v>0</v>
      </c>
    </row>
    <row r="114" spans="1:12" ht="15">
      <c r="A114" s="122"/>
      <c r="B114" s="123"/>
      <c r="C114" s="126"/>
      <c r="D114" s="147"/>
      <c r="E114" s="127">
        <f>ROUND($D114*$B$9*$B$10,2)</f>
        <v>0</v>
      </c>
      <c r="F114" s="147"/>
      <c r="G114" s="144">
        <f>IFERROR(($F114/$E114)-1,0)</f>
        <v>0</v>
      </c>
      <c r="H114" s="144">
        <f>IFERROR((F114/D114)-1,0)</f>
        <v>0</v>
      </c>
      <c r="I114" s="149"/>
      <c r="J114" s="146">
        <f>IFERROR($E114*$I114,0)</f>
        <v>0</v>
      </c>
      <c r="K114" s="146">
        <f>IFERROR($F114*$I114,0)</f>
        <v>0</v>
      </c>
      <c r="L114" s="146">
        <f>IFERROR(K114-J114,0)</f>
        <v>0</v>
      </c>
    </row>
    <row r="115" spans="1:12" ht="15">
      <c r="A115" s="122"/>
      <c r="B115" s="21" t="s">
        <v>50</v>
      </c>
      <c r="C115" s="21" t="s">
        <v>51</v>
      </c>
      <c r="D115" s="147"/>
      <c r="E115" s="147"/>
      <c r="F115" s="147"/>
      <c r="G115" s="147"/>
      <c r="H115" s="147"/>
      <c r="I115" s="149"/>
      <c r="J115" s="149"/>
      <c r="K115" s="150"/>
      <c r="L115" s="151"/>
    </row>
    <row r="116" spans="1:12" ht="30">
      <c r="A116" s="122" t="s">
        <v>62</v>
      </c>
      <c r="B116" s="123" t="s">
        <v>67</v>
      </c>
      <c r="C116" s="126" t="s">
        <v>51</v>
      </c>
      <c r="D116" s="127">
        <v>400</v>
      </c>
      <c r="E116" s="127">
        <f>ROUND($D116*$B$9*$B$10,2)</f>
        <v>200</v>
      </c>
      <c r="F116" s="127">
        <v>200</v>
      </c>
      <c r="G116" s="144">
        <f>IFERROR(($F116/$E116)-1,0)</f>
        <v>0</v>
      </c>
      <c r="H116" s="144">
        <f>IFERROR((F116/D116)-1,0)</f>
        <v>-0.50</v>
      </c>
      <c r="I116" s="145">
        <v>70</v>
      </c>
      <c r="J116" s="146">
        <f>IFERROR($E116*$I116,0)</f>
        <v>14000</v>
      </c>
      <c r="K116" s="146">
        <f>IFERROR($F116*$I116,0)</f>
        <v>14000</v>
      </c>
      <c r="L116" s="146">
        <f>IFERROR(K116-J116,0)</f>
        <v>0</v>
      </c>
    </row>
    <row r="117" spans="1:12" ht="15">
      <c r="A117" s="122"/>
      <c r="B117" s="123"/>
      <c r="C117" s="126"/>
      <c r="D117" s="147"/>
      <c r="E117" s="127">
        <f t="shared" si="67" ref="E117:E120">ROUND($D117*$B$9*$B$10,2)</f>
        <v>0</v>
      </c>
      <c r="F117" s="147"/>
      <c r="G117" s="144">
        <f>IFERROR(($F117/$E117)-1,0)</f>
        <v>0</v>
      </c>
      <c r="H117" s="144">
        <f t="shared" si="68" ref="H117:H120">IFERROR((F117/D117)-1,0)</f>
        <v>0</v>
      </c>
      <c r="I117" s="145"/>
      <c r="J117" s="146">
        <f>IFERROR($E117*$I117,0)</f>
        <v>0</v>
      </c>
      <c r="K117" s="146">
        <f>IFERROR($F117*$I117,0)</f>
        <v>0</v>
      </c>
      <c r="L117" s="146">
        <f t="shared" si="69" ref="L117:L120">IFERROR(K117-J117,0)</f>
        <v>0</v>
      </c>
    </row>
    <row r="118" spans="1:12" ht="15">
      <c r="A118" s="122"/>
      <c r="B118" s="123"/>
      <c r="C118" s="126"/>
      <c r="D118" s="148"/>
      <c r="E118" s="127">
        <f>ROUND($D118*$B$9*$B$10,2)</f>
        <v>0</v>
      </c>
      <c r="F118" s="148"/>
      <c r="G118" s="144">
        <f>IFERROR(($F118/$E118)-1,0)</f>
        <v>0</v>
      </c>
      <c r="H118" s="144">
        <f>IFERROR((F118/D118)-1,0)</f>
        <v>0</v>
      </c>
      <c r="I118" s="145"/>
      <c r="J118" s="146">
        <f>IFERROR($E118*$I118,0)</f>
        <v>0</v>
      </c>
      <c r="K118" s="146">
        <f>IFERROR($F118*$I118,0)</f>
        <v>0</v>
      </c>
      <c r="L118" s="146">
        <f>IFERROR(K118-J118,0)</f>
        <v>0</v>
      </c>
    </row>
    <row r="119" spans="1:12" ht="15">
      <c r="A119" s="122"/>
      <c r="B119" s="123"/>
      <c r="C119" s="126"/>
      <c r="D119" s="147"/>
      <c r="E119" s="127">
        <f>ROUND($D119*$B$9*$B$10,2)</f>
        <v>0</v>
      </c>
      <c r="F119" s="147"/>
      <c r="G119" s="144">
        <f>IFERROR(($F119/$E119)-1,0)</f>
        <v>0</v>
      </c>
      <c r="H119" s="144">
        <f>IFERROR((F119/D119)-1,0)</f>
        <v>0</v>
      </c>
      <c r="I119" s="145"/>
      <c r="J119" s="146">
        <f>IFERROR($E119*$I119,0)</f>
        <v>0</v>
      </c>
      <c r="K119" s="146">
        <f>IFERROR($F119*$I119,0)</f>
        <v>0</v>
      </c>
      <c r="L119" s="146">
        <f>IFERROR(K119-J119,0)</f>
        <v>0</v>
      </c>
    </row>
    <row r="120" spans="1:12" ht="15">
      <c r="A120" s="122"/>
      <c r="B120" s="123"/>
      <c r="C120" s="126"/>
      <c r="D120" s="147"/>
      <c r="E120" s="127">
        <f>ROUND($D120*$B$9*$B$10,2)</f>
        <v>0</v>
      </c>
      <c r="F120" s="147"/>
      <c r="G120" s="144">
        <f>IFERROR(($F120/$E120)-1,0)</f>
        <v>0</v>
      </c>
      <c r="H120" s="144">
        <f>IFERROR((F120/D120)-1,0)</f>
        <v>0</v>
      </c>
      <c r="I120" s="149"/>
      <c r="J120" s="146">
        <f>IFERROR($E120*$I120,0)</f>
        <v>0</v>
      </c>
      <c r="K120" s="146">
        <f>IFERROR($F120*$I120,0)</f>
        <v>0</v>
      </c>
      <c r="L120" s="146">
        <f>IFERROR(K120-J120,0)</f>
        <v>0</v>
      </c>
    </row>
    <row r="121" spans="1:12" ht="15">
      <c r="A121" s="122"/>
      <c r="B121" s="21" t="s">
        <v>52</v>
      </c>
      <c r="C121" s="21" t="s">
        <v>53</v>
      </c>
      <c r="D121" s="147"/>
      <c r="E121" s="147"/>
      <c r="F121" s="147"/>
      <c r="G121" s="147"/>
      <c r="H121" s="147"/>
      <c r="I121" s="149"/>
      <c r="J121" s="149"/>
      <c r="K121" s="150"/>
      <c r="L121" s="151"/>
    </row>
    <row r="122" spans="1:12" ht="15">
      <c r="A122" s="122" t="s">
        <v>62</v>
      </c>
      <c r="B122" s="123" t="s">
        <v>68</v>
      </c>
      <c r="C122" s="126" t="s">
        <v>53</v>
      </c>
      <c r="D122" s="127">
        <v>425</v>
      </c>
      <c r="E122" s="127">
        <f>ROUND($D122*$B$9*$B$10,2)</f>
        <v>212.50</v>
      </c>
      <c r="F122" s="127">
        <v>212.50</v>
      </c>
      <c r="G122" s="144">
        <f>IFERROR(($F122/$E122)-1,0)</f>
        <v>0</v>
      </c>
      <c r="H122" s="144">
        <f>IFERROR((F122/D122)-1,0)</f>
        <v>-0.50</v>
      </c>
      <c r="I122" s="145">
        <v>60</v>
      </c>
      <c r="J122" s="146">
        <f>IFERROR($E122*$I122,0)</f>
        <v>12750</v>
      </c>
      <c r="K122" s="146">
        <f>IFERROR($F122*$I122,0)</f>
        <v>12750</v>
      </c>
      <c r="L122" s="146">
        <f>IFERROR(K122-J122,0)</f>
        <v>0</v>
      </c>
    </row>
    <row r="123" spans="1:12" ht="15">
      <c r="A123" s="122"/>
      <c r="B123" s="123"/>
      <c r="C123" s="126"/>
      <c r="D123" s="147"/>
      <c r="E123" s="127">
        <f t="shared" si="70" ref="E123:E126">ROUND($D123*$B$9*$B$10,2)</f>
        <v>0</v>
      </c>
      <c r="F123" s="147"/>
      <c r="G123" s="144">
        <f>IFERROR(($F123/$E123)-1,0)</f>
        <v>0</v>
      </c>
      <c r="H123" s="144">
        <f t="shared" si="71" ref="H123:H126">IFERROR((F123/D123)-1,0)</f>
        <v>0</v>
      </c>
      <c r="I123" s="145"/>
      <c r="J123" s="146">
        <f>IFERROR($E123*$I123,0)</f>
        <v>0</v>
      </c>
      <c r="K123" s="146">
        <f>IFERROR($F123*$I123,0)</f>
        <v>0</v>
      </c>
      <c r="L123" s="146">
        <f t="shared" si="72" ref="L123:L126">IFERROR(K123-J123,0)</f>
        <v>0</v>
      </c>
    </row>
    <row r="124" spans="1:12" ht="15">
      <c r="A124" s="122"/>
      <c r="B124" s="123"/>
      <c r="C124" s="126"/>
      <c r="D124" s="148"/>
      <c r="E124" s="127">
        <f>ROUND($D124*$B$9*$B$10,2)</f>
        <v>0</v>
      </c>
      <c r="F124" s="148"/>
      <c r="G124" s="144">
        <f>IFERROR(($F124/$E124)-1,0)</f>
        <v>0</v>
      </c>
      <c r="H124" s="144">
        <f>IFERROR((F124/D124)-1,0)</f>
        <v>0</v>
      </c>
      <c r="I124" s="145"/>
      <c r="J124" s="146">
        <f>IFERROR($E124*$I124,0)</f>
        <v>0</v>
      </c>
      <c r="K124" s="146">
        <f>IFERROR($F124*$I124,0)</f>
        <v>0</v>
      </c>
      <c r="L124" s="146">
        <f>IFERROR(K124-J124,0)</f>
        <v>0</v>
      </c>
    </row>
    <row r="125" spans="1:12" ht="15">
      <c r="A125" s="122"/>
      <c r="B125" s="123"/>
      <c r="C125" s="126"/>
      <c r="D125" s="147"/>
      <c r="E125" s="127">
        <f>ROUND($D125*$B$9*$B$10,2)</f>
        <v>0</v>
      </c>
      <c r="F125" s="147"/>
      <c r="G125" s="144">
        <f>IFERROR(($F125/$E125)-1,0)</f>
        <v>0</v>
      </c>
      <c r="H125" s="144">
        <f>IFERROR((F125/D125)-1,0)</f>
        <v>0</v>
      </c>
      <c r="I125" s="145"/>
      <c r="J125" s="146">
        <f>IFERROR($E125*$I125,0)</f>
        <v>0</v>
      </c>
      <c r="K125" s="146">
        <f>IFERROR($F125*$I125,0)</f>
        <v>0</v>
      </c>
      <c r="L125" s="146">
        <f>IFERROR(K125-J125,0)</f>
        <v>0</v>
      </c>
    </row>
    <row r="126" spans="1:12" ht="15">
      <c r="A126" s="122"/>
      <c r="B126" s="123"/>
      <c r="C126" s="126"/>
      <c r="D126" s="147"/>
      <c r="E126" s="127">
        <f>ROUND($D126*$B$9*$B$10,2)</f>
        <v>0</v>
      </c>
      <c r="F126" s="147"/>
      <c r="G126" s="144">
        <f>IFERROR(($F126/$E126)-1,0)</f>
        <v>0</v>
      </c>
      <c r="H126" s="144">
        <f>IFERROR((F126/D126)-1,0)</f>
        <v>0</v>
      </c>
      <c r="I126" s="149"/>
      <c r="J126" s="146">
        <f>IFERROR($E126*$I126,0)</f>
        <v>0</v>
      </c>
      <c r="K126" s="146">
        <f>IFERROR($F126*$I126,0)</f>
        <v>0</v>
      </c>
      <c r="L126" s="146">
        <f>IFERROR(K126-J126,0)</f>
        <v>0</v>
      </c>
    </row>
    <row r="127" spans="1:12" ht="15">
      <c r="A127" s="122"/>
      <c r="B127" s="21" t="s">
        <v>54</v>
      </c>
      <c r="C127" s="21" t="s">
        <v>55</v>
      </c>
      <c r="D127" s="147"/>
      <c r="E127" s="147"/>
      <c r="F127" s="147"/>
      <c r="G127" s="147"/>
      <c r="H127" s="147"/>
      <c r="I127" s="149"/>
      <c r="J127" s="149"/>
      <c r="K127" s="150"/>
      <c r="L127" s="151"/>
    </row>
    <row r="128" spans="1:12" ht="15">
      <c r="A128" s="122" t="s">
        <v>62</v>
      </c>
      <c r="B128" s="123" t="s">
        <v>69</v>
      </c>
      <c r="C128" s="126" t="s">
        <v>55</v>
      </c>
      <c r="D128" s="127">
        <v>450</v>
      </c>
      <c r="E128" s="127">
        <f>ROUND($D128*$B$9*$B$10,2)</f>
        <v>225</v>
      </c>
      <c r="F128" s="127">
        <v>225</v>
      </c>
      <c r="G128" s="144">
        <f>IFERROR(($F128/$E128)-1,0)</f>
        <v>0</v>
      </c>
      <c r="H128" s="144">
        <f>IFERROR((F128/D128)-1,0)</f>
        <v>-0.50</v>
      </c>
      <c r="I128" s="145">
        <v>50</v>
      </c>
      <c r="J128" s="146">
        <f>IFERROR($E128*$I128,0)</f>
        <v>11250</v>
      </c>
      <c r="K128" s="146">
        <f>IFERROR($F128*$I128,0)</f>
        <v>11250</v>
      </c>
      <c r="L128" s="146">
        <f>IFERROR(K128-J128,0)</f>
        <v>0</v>
      </c>
    </row>
    <row r="129" spans="1:12" ht="15">
      <c r="A129" s="122"/>
      <c r="B129" s="123"/>
      <c r="C129" s="126"/>
      <c r="D129" s="147"/>
      <c r="E129" s="127">
        <f t="shared" si="73" ref="E129:E132">ROUND($D129*$B$9*$B$10,2)</f>
        <v>0</v>
      </c>
      <c r="F129" s="147"/>
      <c r="G129" s="144">
        <f>IFERROR(($F129/$E129)-1,0)</f>
        <v>0</v>
      </c>
      <c r="H129" s="144">
        <f t="shared" si="74" ref="H129:H132">IFERROR((F129/D129)-1,0)</f>
        <v>0</v>
      </c>
      <c r="I129" s="145"/>
      <c r="J129" s="146">
        <f>IFERROR($E129*$I129,0)</f>
        <v>0</v>
      </c>
      <c r="K129" s="146">
        <f>IFERROR($F129*$I129,0)</f>
        <v>0</v>
      </c>
      <c r="L129" s="146">
        <f t="shared" si="75" ref="L129:L132">IFERROR(K129-J129,0)</f>
        <v>0</v>
      </c>
    </row>
    <row r="130" spans="1:12" ht="15">
      <c r="A130" s="122"/>
      <c r="B130" s="123"/>
      <c r="C130" s="126"/>
      <c r="D130" s="148"/>
      <c r="E130" s="127">
        <f>ROUND($D130*$B$9*$B$10,2)</f>
        <v>0</v>
      </c>
      <c r="F130" s="148"/>
      <c r="G130" s="144">
        <f>IFERROR(($F130/$E130)-1,0)</f>
        <v>0</v>
      </c>
      <c r="H130" s="144">
        <f>IFERROR((F130/D130)-1,0)</f>
        <v>0</v>
      </c>
      <c r="I130" s="145"/>
      <c r="J130" s="146">
        <f>IFERROR($E130*$I130,0)</f>
        <v>0</v>
      </c>
      <c r="K130" s="146">
        <f>IFERROR($F130*$I130,0)</f>
        <v>0</v>
      </c>
      <c r="L130" s="146">
        <f>IFERROR(K130-J130,0)</f>
        <v>0</v>
      </c>
    </row>
    <row r="131" spans="1:12" ht="15">
      <c r="A131" s="122"/>
      <c r="B131" s="123"/>
      <c r="C131" s="126"/>
      <c r="D131" s="147"/>
      <c r="E131" s="127">
        <f>ROUND($D131*$B$9*$B$10,2)</f>
        <v>0</v>
      </c>
      <c r="F131" s="147"/>
      <c r="G131" s="144">
        <f>IFERROR(($F131/$E131)-1,0)</f>
        <v>0</v>
      </c>
      <c r="H131" s="144">
        <f>IFERROR((F131/D131)-1,0)</f>
        <v>0</v>
      </c>
      <c r="I131" s="145"/>
      <c r="J131" s="146">
        <f>IFERROR($E131*$I131,0)</f>
        <v>0</v>
      </c>
      <c r="K131" s="146">
        <f>IFERROR($F131*$I131,0)</f>
        <v>0</v>
      </c>
      <c r="L131" s="146">
        <f>IFERROR(K131-J131,0)</f>
        <v>0</v>
      </c>
    </row>
    <row r="132" spans="1:12" ht="15">
      <c r="A132" s="122"/>
      <c r="B132" s="123"/>
      <c r="C132" s="126"/>
      <c r="D132" s="147"/>
      <c r="E132" s="127">
        <f>ROUND($D132*$B$9*$B$10,2)</f>
        <v>0</v>
      </c>
      <c r="F132" s="147"/>
      <c r="G132" s="144">
        <f>IFERROR(($F132/$E132)-1,0)</f>
        <v>0</v>
      </c>
      <c r="H132" s="144">
        <f>IFERROR((F132/D132)-1,0)</f>
        <v>0</v>
      </c>
      <c r="I132" s="149"/>
      <c r="J132" s="146">
        <f>IFERROR($E132*$I132,0)</f>
        <v>0</v>
      </c>
      <c r="K132" s="146">
        <f>IFERROR($F132*$I132,0)</f>
        <v>0</v>
      </c>
      <c r="L132" s="146">
        <f>IFERROR(K132-J132,0)</f>
        <v>0</v>
      </c>
    </row>
    <row r="133" spans="1:12" ht="15">
      <c r="A133" s="122"/>
      <c r="B133" s="21" t="s">
        <v>57</v>
      </c>
      <c r="C133" s="21" t="s">
        <v>58</v>
      </c>
      <c r="D133" s="147"/>
      <c r="E133" s="147"/>
      <c r="F133" s="147"/>
      <c r="G133" s="147"/>
      <c r="H133" s="147"/>
      <c r="I133" s="149"/>
      <c r="J133" s="149"/>
      <c r="K133" s="150"/>
      <c r="L133" s="151"/>
    </row>
    <row r="134" spans="1:12" ht="15">
      <c r="A134" s="122" t="s">
        <v>62</v>
      </c>
      <c r="B134" s="123" t="s">
        <v>70</v>
      </c>
      <c r="C134" s="126" t="s">
        <v>58</v>
      </c>
      <c r="D134" s="127">
        <v>475</v>
      </c>
      <c r="E134" s="127">
        <f>ROUND($D134*$B$9*$B$10,2)</f>
        <v>237.50</v>
      </c>
      <c r="F134" s="127">
        <v>237.50</v>
      </c>
      <c r="G134" s="144">
        <f>IFERROR(($F134/$E134)-1,0)</f>
        <v>0</v>
      </c>
      <c r="H134" s="144">
        <f>IFERROR((F134/D134)-1,0)</f>
        <v>-0.50</v>
      </c>
      <c r="I134" s="145">
        <v>40</v>
      </c>
      <c r="J134" s="146">
        <f>IFERROR($E134*$I134,0)</f>
        <v>9500</v>
      </c>
      <c r="K134" s="146">
        <f>IFERROR($F134*$I134,0)</f>
        <v>9500</v>
      </c>
      <c r="L134" s="146">
        <f>IFERROR(K134-J134,0)</f>
        <v>0</v>
      </c>
    </row>
    <row r="135" spans="1:12" ht="15">
      <c r="A135" s="122"/>
      <c r="B135" s="123"/>
      <c r="C135" s="126"/>
      <c r="D135" s="147"/>
      <c r="E135" s="127">
        <f t="shared" si="76" ref="E135:E138">ROUND($D135*$B$9*$B$10,2)</f>
        <v>0</v>
      </c>
      <c r="F135" s="147"/>
      <c r="G135" s="144">
        <f>IFERROR(($F135/$E135)-1,0)</f>
        <v>0</v>
      </c>
      <c r="H135" s="144">
        <f t="shared" si="77" ref="H135:H138">IFERROR((F135/D135)-1,0)</f>
        <v>0</v>
      </c>
      <c r="I135" s="145"/>
      <c r="J135" s="146">
        <f>IFERROR($E135*$I135,0)</f>
        <v>0</v>
      </c>
      <c r="K135" s="146">
        <f>IFERROR($F135*$I135,0)</f>
        <v>0</v>
      </c>
      <c r="L135" s="146">
        <f t="shared" si="78" ref="L135:L138">IFERROR(K135-J135,0)</f>
        <v>0</v>
      </c>
    </row>
    <row r="136" spans="1:12" ht="15">
      <c r="A136" s="122"/>
      <c r="B136" s="123"/>
      <c r="C136" s="126"/>
      <c r="D136" s="148"/>
      <c r="E136" s="127">
        <f>ROUND($D136*$B$9*$B$10,2)</f>
        <v>0</v>
      </c>
      <c r="F136" s="148"/>
      <c r="G136" s="144">
        <f>IFERROR(($F136/$E136)-1,0)</f>
        <v>0</v>
      </c>
      <c r="H136" s="144">
        <f>IFERROR((F136/D136)-1,0)</f>
        <v>0</v>
      </c>
      <c r="I136" s="145"/>
      <c r="J136" s="146">
        <f>IFERROR($E136*$I136,0)</f>
        <v>0</v>
      </c>
      <c r="K136" s="146">
        <f>IFERROR($F136*$I136,0)</f>
        <v>0</v>
      </c>
      <c r="L136" s="146">
        <f>IFERROR(K136-J136,0)</f>
        <v>0</v>
      </c>
    </row>
    <row r="137" spans="1:12" ht="15">
      <c r="A137" s="122"/>
      <c r="B137" s="123"/>
      <c r="C137" s="126"/>
      <c r="D137" s="147"/>
      <c r="E137" s="127">
        <f>ROUND($D137*$B$9*$B$10,2)</f>
        <v>0</v>
      </c>
      <c r="F137" s="147"/>
      <c r="G137" s="144">
        <f>IFERROR(($F137/$E137)-1,0)</f>
        <v>0</v>
      </c>
      <c r="H137" s="144">
        <f>IFERROR((F137/D137)-1,0)</f>
        <v>0</v>
      </c>
      <c r="I137" s="145"/>
      <c r="J137" s="146">
        <f>IFERROR($E137*$I137,0)</f>
        <v>0</v>
      </c>
      <c r="K137" s="146">
        <f>IFERROR($F137*$I137,0)</f>
        <v>0</v>
      </c>
      <c r="L137" s="146">
        <f>IFERROR(K137-J137,0)</f>
        <v>0</v>
      </c>
    </row>
    <row r="138" spans="1:12" ht="15">
      <c r="A138" s="122"/>
      <c r="B138" s="123"/>
      <c r="C138" s="126"/>
      <c r="D138" s="147"/>
      <c r="E138" s="127">
        <f>ROUND($D138*$B$9*$B$10,2)</f>
        <v>0</v>
      </c>
      <c r="F138" s="147"/>
      <c r="G138" s="144">
        <f>IFERROR(($F138/$E138)-1,0)</f>
        <v>0</v>
      </c>
      <c r="H138" s="144">
        <f>IFERROR((F138/D138)-1,0)</f>
        <v>0</v>
      </c>
      <c r="I138" s="149"/>
      <c r="J138" s="146">
        <f>IFERROR($E138*$I138,0)</f>
        <v>0</v>
      </c>
      <c r="K138" s="146">
        <f>IFERROR($F138*$I138,0)</f>
        <v>0</v>
      </c>
      <c r="L138" s="146">
        <f>IFERROR(K138-J138,0)</f>
        <v>0</v>
      </c>
    </row>
    <row r="139" spans="1:12" ht="30">
      <c r="A139" s="122"/>
      <c r="B139" s="21" t="s">
        <v>59</v>
      </c>
      <c r="C139" s="21" t="s">
        <v>60</v>
      </c>
      <c r="D139" s="147"/>
      <c r="E139" s="147"/>
      <c r="F139" s="147"/>
      <c r="G139" s="147"/>
      <c r="H139" s="147"/>
      <c r="I139" s="149"/>
      <c r="J139" s="149"/>
      <c r="K139" s="150"/>
      <c r="L139" s="151"/>
    </row>
    <row r="140" spans="1:12" ht="15">
      <c r="A140" s="122" t="s">
        <v>62</v>
      </c>
      <c r="B140" s="123" t="s">
        <v>71</v>
      </c>
      <c r="C140" s="126" t="s">
        <v>60</v>
      </c>
      <c r="D140" s="127">
        <v>500</v>
      </c>
      <c r="E140" s="127">
        <f>ROUND($D140*$B$9*$B$10,2)</f>
        <v>250</v>
      </c>
      <c r="F140" s="127">
        <v>250</v>
      </c>
      <c r="G140" s="144">
        <f>IFERROR(($F140/$E140)-1,0)</f>
        <v>0</v>
      </c>
      <c r="H140" s="144">
        <f>IFERROR((F140/D140)-1,0)</f>
        <v>-0.50</v>
      </c>
      <c r="I140" s="145">
        <v>30</v>
      </c>
      <c r="J140" s="146">
        <f>IFERROR($E140*$I140,0)</f>
        <v>7500</v>
      </c>
      <c r="K140" s="146">
        <f>IFERROR($F140*$I140,0)</f>
        <v>7500</v>
      </c>
      <c r="L140" s="146">
        <f>IFERROR(K140-J140,0)</f>
        <v>0</v>
      </c>
    </row>
    <row r="141" spans="1:12" ht="15">
      <c r="A141" s="122"/>
      <c r="B141" s="123"/>
      <c r="C141" s="126"/>
      <c r="D141" s="147"/>
      <c r="E141" s="127">
        <f t="shared" si="79" ref="E141:E144">ROUND($D141*$B$9*$B$10,2)</f>
        <v>0</v>
      </c>
      <c r="F141" s="147"/>
      <c r="G141" s="144">
        <f>IFERROR(($F141/$E141)-1,0)</f>
        <v>0</v>
      </c>
      <c r="H141" s="144">
        <f t="shared" si="80" ref="H141:H144">IFERROR((F141/D141)-1,0)</f>
        <v>0</v>
      </c>
      <c r="I141" s="145"/>
      <c r="J141" s="146">
        <f>IFERROR($E141*$I141,0)</f>
        <v>0</v>
      </c>
      <c r="K141" s="146">
        <f>IFERROR($F141*$I141,0)</f>
        <v>0</v>
      </c>
      <c r="L141" s="146">
        <f t="shared" si="81" ref="L141:L144">IFERROR(K141-J141,0)</f>
        <v>0</v>
      </c>
    </row>
    <row r="142" spans="1:12" ht="15">
      <c r="A142" s="122"/>
      <c r="B142" s="123"/>
      <c r="C142" s="126"/>
      <c r="D142" s="148"/>
      <c r="E142" s="127">
        <f>ROUND($D142*$B$9*$B$10,2)</f>
        <v>0</v>
      </c>
      <c r="F142" s="148"/>
      <c r="G142" s="144">
        <f>IFERROR(($F142/$E142)-1,0)</f>
        <v>0</v>
      </c>
      <c r="H142" s="144">
        <f>IFERROR((F142/D142)-1,0)</f>
        <v>0</v>
      </c>
      <c r="I142" s="145"/>
      <c r="J142" s="146">
        <f>IFERROR($E142*$I142,0)</f>
        <v>0</v>
      </c>
      <c r="K142" s="146">
        <f>IFERROR($F142*$I142,0)</f>
        <v>0</v>
      </c>
      <c r="L142" s="146">
        <f>IFERROR(K142-J142,0)</f>
        <v>0</v>
      </c>
    </row>
    <row r="143" spans="1:12" ht="15">
      <c r="A143" s="122"/>
      <c r="B143" s="123"/>
      <c r="C143" s="126"/>
      <c r="D143" s="147"/>
      <c r="E143" s="127">
        <f>ROUND($D143*$B$9*$B$10,2)</f>
        <v>0</v>
      </c>
      <c r="F143" s="147"/>
      <c r="G143" s="144">
        <f>IFERROR(($F143/$E143)-1,0)</f>
        <v>0</v>
      </c>
      <c r="H143" s="144">
        <f>IFERROR((F143/D143)-1,0)</f>
        <v>0</v>
      </c>
      <c r="I143" s="145"/>
      <c r="J143" s="146">
        <f>IFERROR($E143*$I143,0)</f>
        <v>0</v>
      </c>
      <c r="K143" s="146">
        <f>IFERROR($F143*$I143,0)</f>
        <v>0</v>
      </c>
      <c r="L143" s="146">
        <f>IFERROR(K143-J143,0)</f>
        <v>0</v>
      </c>
    </row>
    <row r="144" spans="1:12" ht="15">
      <c r="A144" s="122"/>
      <c r="B144" s="123"/>
      <c r="C144" s="126"/>
      <c r="D144" s="147"/>
      <c r="E144" s="127">
        <f>ROUND($D144*$B$9*$B$10,2)</f>
        <v>0</v>
      </c>
      <c r="F144" s="147"/>
      <c r="G144" s="144">
        <f>IFERROR(($F144/$E144)-1,0)</f>
        <v>0</v>
      </c>
      <c r="H144" s="144">
        <f>IFERROR((F144/D144)-1,0)</f>
        <v>0</v>
      </c>
      <c r="I144" s="149"/>
      <c r="J144" s="146">
        <f>IFERROR($E144*$I144,0)</f>
        <v>0</v>
      </c>
      <c r="K144" s="146">
        <f>IFERROR($F144*$I144,0)</f>
        <v>0</v>
      </c>
      <c r="L144" s="146">
        <f>IFERROR(K144-J144,0)</f>
        <v>0</v>
      </c>
    </row>
    <row r="145" spans="1:12" ht="30">
      <c r="A145" s="122"/>
      <c r="B145" s="21" t="s">
        <v>78</v>
      </c>
      <c r="C145" s="21" t="s">
        <v>80</v>
      </c>
      <c r="D145" s="147"/>
      <c r="E145" s="147"/>
      <c r="F145" s="147"/>
      <c r="G145" s="147"/>
      <c r="H145" s="147"/>
      <c r="I145" s="149"/>
      <c r="J145" s="149"/>
      <c r="K145" s="150"/>
      <c r="L145" s="151"/>
    </row>
    <row r="146" spans="1:12" ht="15">
      <c r="A146" s="122" t="s">
        <v>62</v>
      </c>
      <c r="B146" s="123" t="s">
        <v>79</v>
      </c>
      <c r="C146" s="126" t="s">
        <v>80</v>
      </c>
      <c r="D146" s="127">
        <v>90</v>
      </c>
      <c r="E146" s="127">
        <f>ROUND($D146*$B$9*$B$10,2)</f>
        <v>45</v>
      </c>
      <c r="F146" s="127">
        <v>45</v>
      </c>
      <c r="G146" s="144">
        <f>IFERROR(($F146/$E146)-1,0)</f>
        <v>0</v>
      </c>
      <c r="H146" s="144">
        <f>IFERROR((F146/D146)-1,0)</f>
        <v>-0.50</v>
      </c>
      <c r="I146" s="145">
        <v>5</v>
      </c>
      <c r="J146" s="146">
        <f>IFERROR($E146*$I146,0)</f>
        <v>225</v>
      </c>
      <c r="K146" s="146">
        <f>IFERROR($F146*$I146,0)</f>
        <v>225</v>
      </c>
      <c r="L146" s="146">
        <f>IFERROR(K146-J146,0)</f>
        <v>0</v>
      </c>
    </row>
    <row r="147" spans="1:12" ht="15">
      <c r="A147" s="122"/>
      <c r="B147" s="123"/>
      <c r="C147" s="126"/>
      <c r="D147" s="147"/>
      <c r="E147" s="127">
        <f t="shared" si="82" ref="E147:E150">ROUND($D147*$B$9*$B$10,2)</f>
        <v>0</v>
      </c>
      <c r="F147" s="147"/>
      <c r="G147" s="144">
        <f>IFERROR(($F147/$E147)-1,0)</f>
        <v>0</v>
      </c>
      <c r="H147" s="144">
        <f t="shared" si="83" ref="H147:H150">IFERROR((F147/D147)-1,0)</f>
        <v>0</v>
      </c>
      <c r="I147" s="145"/>
      <c r="J147" s="146">
        <f>IFERROR($E147*$I147,0)</f>
        <v>0</v>
      </c>
      <c r="K147" s="146">
        <f>IFERROR($F147*$I147,0)</f>
        <v>0</v>
      </c>
      <c r="L147" s="146">
        <f t="shared" si="84" ref="L147:L150">IFERROR(K147-J147,0)</f>
        <v>0</v>
      </c>
    </row>
    <row r="148" spans="1:12" ht="15">
      <c r="A148" s="122"/>
      <c r="B148" s="123"/>
      <c r="C148" s="126"/>
      <c r="D148" s="148"/>
      <c r="E148" s="127">
        <f>ROUND($D148*$B$9*$B$10,2)</f>
        <v>0</v>
      </c>
      <c r="F148" s="148"/>
      <c r="G148" s="144">
        <f>IFERROR(($F148/$E148)-1,0)</f>
        <v>0</v>
      </c>
      <c r="H148" s="144">
        <f>IFERROR((F148/D148)-1,0)</f>
        <v>0</v>
      </c>
      <c r="I148" s="145"/>
      <c r="J148" s="146">
        <f>IFERROR($E148*$I148,0)</f>
        <v>0</v>
      </c>
      <c r="K148" s="146">
        <f>IFERROR($F148*$I148,0)</f>
        <v>0</v>
      </c>
      <c r="L148" s="146">
        <f>IFERROR(K148-J148,0)</f>
        <v>0</v>
      </c>
    </row>
    <row r="149" spans="1:12" ht="15">
      <c r="A149" s="122"/>
      <c r="B149" s="123"/>
      <c r="C149" s="126"/>
      <c r="D149" s="147"/>
      <c r="E149" s="127">
        <f>ROUND($D149*$B$9*$B$10,2)</f>
        <v>0</v>
      </c>
      <c r="F149" s="147"/>
      <c r="G149" s="144">
        <f>IFERROR(($F149/$E149)-1,0)</f>
        <v>0</v>
      </c>
      <c r="H149" s="144">
        <f>IFERROR((F149/D149)-1,0)</f>
        <v>0</v>
      </c>
      <c r="I149" s="145"/>
      <c r="J149" s="146">
        <f>IFERROR($E149*$I149,0)</f>
        <v>0</v>
      </c>
      <c r="K149" s="146">
        <f>IFERROR($F149*$I149,0)</f>
        <v>0</v>
      </c>
      <c r="L149" s="146">
        <f>IFERROR(K149-J149,0)</f>
        <v>0</v>
      </c>
    </row>
    <row r="150" spans="1:12" ht="15">
      <c r="A150" s="122"/>
      <c r="B150" s="123"/>
      <c r="C150" s="126"/>
      <c r="D150" s="147"/>
      <c r="E150" s="127">
        <f>ROUND($D150*$B$9*$B$10,2)</f>
        <v>0</v>
      </c>
      <c r="F150" s="147"/>
      <c r="G150" s="144">
        <f>IFERROR(($F150/$E150)-1,0)</f>
        <v>0</v>
      </c>
      <c r="H150" s="144">
        <f>IFERROR((F150/D150)-1,0)</f>
        <v>0</v>
      </c>
      <c r="I150" s="149"/>
      <c r="J150" s="146">
        <f>IFERROR($E150*$I150,0)</f>
        <v>0</v>
      </c>
      <c r="K150" s="146">
        <f>IFERROR($F150*$I150,0)</f>
        <v>0</v>
      </c>
      <c r="L150" s="146">
        <f>IFERROR(K150-J150,0)</f>
        <v>0</v>
      </c>
    </row>
  </sheetData>
  <mergeCells count="4">
    <mergeCell ref="A84:L85"/>
    <mergeCell ref="J87:L87"/>
    <mergeCell ref="A14:N15"/>
    <mergeCell ref="L17:N17"/>
  </mergeCells>
  <pageMargins left="0.25" right="0.25" top="0.75" bottom="0.75" header="0.3" footer="0.3"/>
  <pageSetup fitToHeight="0" orientation="landscape" paperSize="5" scale="59" r:id="rId1"/>
  <headerFooter>
    <oddFooter>&amp;L&amp;Z&amp;F\&amp;A&amp;R&amp;D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4EAE1-CEC1-4B3C-B3D5-93B425555DF9}">
  <sheetPr codeName="Sheet14">
    <pageSetUpPr fitToPage="1"/>
  </sheetPr>
  <dimension ref="A1:P150"/>
  <sheetViews>
    <sheetView zoomScale="80" zoomScaleNormal="80" workbookViewId="0" topLeftCell="A1"/>
  </sheetViews>
  <sheetFormatPr defaultColWidth="9.145" defaultRowHeight="15"/>
  <cols>
    <col min="1" max="1" width="59" style="132" bestFit="1" customWidth="1"/>
    <col min="2" max="2" width="39.25" style="37" customWidth="1"/>
    <col min="3" max="3" width="15.75" style="108" customWidth="1"/>
    <col min="4" max="8" width="15.75" style="35" customWidth="1"/>
    <col min="9" max="11" width="15.75" style="39" customWidth="1"/>
    <col min="12" max="12" width="15.75" style="40" customWidth="1"/>
    <col min="13" max="15" width="18.25" style="41" customWidth="1"/>
    <col min="16" max="16" width="15.75" style="41" customWidth="1"/>
    <col min="17" max="16384" width="9.125" style="41"/>
  </cols>
  <sheetData>
    <row r="1" spans="1:8" ht="15">
      <c r="A1" s="36" t="str">
        <f ca="1">MID(CELL("filename",A1),FIND("]",CELL("filename",A1))+1,255)</f>
        <v>Study Area 4 TRP</v>
      </c>
      <c r="C1" s="41"/>
      <c r="D1" s="41"/>
      <c r="F1" s="38"/>
      <c r="G1" s="41"/>
      <c r="H1" s="41"/>
    </row>
    <row r="2" spans="1:8" ht="15">
      <c r="A2" s="29" t="s">
        <v>19</v>
      </c>
      <c r="C2" s="41"/>
      <c r="D2" s="41"/>
      <c r="F2" s="79"/>
      <c r="G2" s="41"/>
      <c r="H2" s="41"/>
    </row>
    <row r="3" spans="1:8" ht="15">
      <c r="A3" s="29" t="s">
        <v>25</v>
      </c>
      <c r="C3" s="41"/>
      <c r="D3" s="41"/>
      <c r="F3" s="43"/>
      <c r="G3" s="41"/>
      <c r="H3" s="41"/>
    </row>
    <row r="4" spans="1:8" ht="15">
      <c r="A4" s="29" t="s">
        <v>20</v>
      </c>
      <c r="C4" s="41"/>
      <c r="D4" s="41"/>
      <c r="F4" s="43"/>
      <c r="G4" s="41"/>
      <c r="H4" s="41"/>
    </row>
    <row r="5" spans="1:12" ht="15">
      <c r="A5" s="44" t="s">
        <v>14</v>
      </c>
      <c r="C5" s="41"/>
      <c r="D5" s="41"/>
      <c r="F5" s="43"/>
      <c r="G5" s="41"/>
      <c r="H5" s="41"/>
      <c r="I5" s="41"/>
      <c r="J5" s="41"/>
      <c r="K5" s="41"/>
      <c r="L5" s="41"/>
    </row>
    <row r="6" spans="1:12" ht="15">
      <c r="A6" s="44"/>
      <c r="C6" s="41"/>
      <c r="D6" s="41"/>
      <c r="F6" s="43"/>
      <c r="G6" s="28"/>
      <c r="H6" s="58"/>
      <c r="I6" s="41"/>
      <c r="J6" s="41"/>
      <c r="K6" s="41"/>
      <c r="L6" s="41"/>
    </row>
    <row r="7" spans="1:12" ht="15">
      <c r="A7" s="62" t="s">
        <v>15</v>
      </c>
      <c r="B7" s="180">
        <f>'Exogenous Costs'!C23</f>
        <v>900004</v>
      </c>
      <c r="C7" s="41"/>
      <c r="D7" s="41"/>
      <c r="F7" s="43"/>
      <c r="G7" s="28"/>
      <c r="H7" s="58"/>
      <c r="I7" s="41"/>
      <c r="J7" s="41"/>
      <c r="K7" s="41"/>
      <c r="L7" s="41"/>
    </row>
    <row r="8" spans="1:12" ht="15">
      <c r="A8" s="62" t="s">
        <v>16</v>
      </c>
      <c r="B8" s="63" t="str">
        <f>'Exogenous Costs'!D23</f>
        <v>Study Area 4</v>
      </c>
      <c r="C8" s="41"/>
      <c r="D8" s="41"/>
      <c r="F8" s="43"/>
      <c r="G8" s="28"/>
      <c r="H8" s="58"/>
      <c r="I8" s="41"/>
      <c r="J8" s="41"/>
      <c r="K8" s="41"/>
      <c r="L8" s="41"/>
    </row>
    <row r="9" spans="1:12" ht="15">
      <c r="A9" s="62" t="s">
        <v>17</v>
      </c>
      <c r="B9" s="64">
        <f>'Factor Dev'!G19</f>
        <v>0.7499996250001875</v>
      </c>
      <c r="C9" s="41"/>
      <c r="D9" s="41"/>
      <c r="F9" s="43"/>
      <c r="G9" s="28"/>
      <c r="H9" s="58"/>
      <c r="I9" s="41"/>
      <c r="J9" s="41"/>
      <c r="K9" s="41"/>
      <c r="L9" s="41"/>
    </row>
    <row r="10" spans="1:12" ht="15">
      <c r="A10" s="62" t="s">
        <v>18</v>
      </c>
      <c r="B10" s="64">
        <f>'Factor Dev'!K19</f>
        <v>0.7462686567164178</v>
      </c>
      <c r="C10" s="41"/>
      <c r="D10" s="41"/>
      <c r="F10" s="43"/>
      <c r="G10" s="28"/>
      <c r="H10" s="58"/>
      <c r="I10" s="41"/>
      <c r="J10" s="41"/>
      <c r="K10" s="41"/>
      <c r="L10" s="41"/>
    </row>
    <row r="11" spans="1:12" ht="15">
      <c r="A11" s="62"/>
      <c r="B11" s="64"/>
      <c r="C11" s="41"/>
      <c r="D11" s="41"/>
      <c r="F11" s="43"/>
      <c r="G11" s="28"/>
      <c r="H11" s="58"/>
      <c r="I11" s="41"/>
      <c r="J11" s="41"/>
      <c r="K11" s="41"/>
      <c r="L11" s="41"/>
    </row>
    <row r="12" spans="1:11" s="101" customFormat="1" ht="15">
      <c r="A12" s="90"/>
      <c r="B12" s="91"/>
      <c r="C12" s="92"/>
      <c r="D12" s="93"/>
      <c r="E12" s="94"/>
      <c r="F12" s="94"/>
      <c r="G12" s="94"/>
      <c r="H12" s="94"/>
      <c r="I12" s="94"/>
      <c r="J12" s="94"/>
      <c r="K12" s="100"/>
    </row>
    <row r="13" spans="1:15" ht="15.75" thickBot="1">
      <c r="A13" s="102"/>
      <c r="B13" s="75"/>
      <c r="C13" s="103"/>
      <c r="D13" s="104"/>
      <c r="E13" s="104"/>
      <c r="F13" s="43"/>
      <c r="G13" s="17"/>
      <c r="H13" s="104"/>
      <c r="I13" s="98"/>
      <c r="J13" s="98"/>
      <c r="K13" s="98"/>
      <c r="M13" s="11"/>
      <c r="N13" s="11"/>
      <c r="O13" s="11"/>
    </row>
    <row r="14" spans="1:16" ht="14.45" customHeight="1">
      <c r="A14" s="307" t="s">
        <v>22</v>
      </c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9"/>
      <c r="O14" s="105"/>
      <c r="P14" s="105"/>
    </row>
    <row r="15" spans="1:16" ht="14.45" customHeight="1" thickBot="1">
      <c r="A15" s="310"/>
      <c r="B15" s="311"/>
      <c r="C15" s="311"/>
      <c r="D15" s="311"/>
      <c r="E15" s="311"/>
      <c r="F15" s="311"/>
      <c r="G15" s="311"/>
      <c r="H15" s="311"/>
      <c r="I15" s="311"/>
      <c r="J15" s="311"/>
      <c r="K15" s="311"/>
      <c r="L15" s="311"/>
      <c r="M15" s="311"/>
      <c r="N15" s="312"/>
      <c r="O15" s="105"/>
      <c r="P15" s="105"/>
    </row>
    <row r="16" spans="1:16" s="100" customFormat="1" ht="14.45" customHeight="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</row>
    <row r="17" spans="1:16" ht="15.75">
      <c r="A17" s="41"/>
      <c r="B17" s="107"/>
      <c r="D17" s="109"/>
      <c r="E17" s="109"/>
      <c r="F17" s="109"/>
      <c r="G17" s="109"/>
      <c r="H17" s="109"/>
      <c r="I17" s="41"/>
      <c r="J17" s="110"/>
      <c r="K17" s="110"/>
      <c r="L17" s="306" t="s">
        <v>117</v>
      </c>
      <c r="M17" s="306"/>
      <c r="N17" s="306"/>
      <c r="O17" s="111"/>
      <c r="P17" s="76"/>
    </row>
    <row r="18" spans="1:14" s="78" customFormat="1" ht="154.15" customHeight="1">
      <c r="A18" s="112" t="s">
        <v>29</v>
      </c>
      <c r="B18" s="112" t="s">
        <v>23</v>
      </c>
      <c r="C18" s="113" t="s">
        <v>4</v>
      </c>
      <c r="D18" s="114" t="s">
        <v>94</v>
      </c>
      <c r="E18" s="114" t="s">
        <v>95</v>
      </c>
      <c r="F18" s="114" t="s">
        <v>96</v>
      </c>
      <c r="G18" s="114" t="s">
        <v>97</v>
      </c>
      <c r="H18" s="114" t="s">
        <v>98</v>
      </c>
      <c r="I18" s="115" t="s">
        <v>99</v>
      </c>
      <c r="J18" s="116" t="s">
        <v>100</v>
      </c>
      <c r="K18" s="116" t="s">
        <v>101</v>
      </c>
      <c r="L18" s="117" t="s">
        <v>102</v>
      </c>
      <c r="M18" s="117" t="s">
        <v>36</v>
      </c>
      <c r="N18" s="114" t="s">
        <v>103</v>
      </c>
    </row>
    <row r="19" spans="1:14" s="75" customFormat="1" ht="15">
      <c r="A19" s="118"/>
      <c r="B19" s="119"/>
      <c r="C19" s="112" t="str">
        <f>"Col "&amp;COLUMN(C20)+24</f>
        <v>Col 27</v>
      </c>
      <c r="D19" s="112" t="str">
        <f t="shared" si="0" ref="D19:N19">"Col "&amp;COLUMN(D20)+24</f>
        <v>Col 28</v>
      </c>
      <c r="E19" s="112" t="str">
        <f>"Col "&amp;COLUMN(E20)+24</f>
        <v>Col 29</v>
      </c>
      <c r="F19" s="112" t="str">
        <f>"Col "&amp;COLUMN(F20)+24</f>
        <v>Col 30</v>
      </c>
      <c r="G19" s="112" t="str">
        <f>"Col "&amp;COLUMN(G20)+24</f>
        <v>Col 31</v>
      </c>
      <c r="H19" s="112" t="str">
        <f>"Col "&amp;COLUMN(H20)+24</f>
        <v>Col 32</v>
      </c>
      <c r="I19" s="112" t="str">
        <f>"Col "&amp;COLUMN(I20)+24</f>
        <v>Col 33</v>
      </c>
      <c r="J19" s="112" t="str">
        <f>"Col "&amp;COLUMN(J20)+24</f>
        <v>Col 34</v>
      </c>
      <c r="K19" s="112" t="str">
        <f>"Col "&amp;COLUMN(K20)+24</f>
        <v>Col 35</v>
      </c>
      <c r="L19" s="112" t="str">
        <f>"Col "&amp;COLUMN(L20)+24</f>
        <v>Col 36</v>
      </c>
      <c r="M19" s="112" t="str">
        <f>"Col "&amp;COLUMN(M20)+24</f>
        <v>Col 37</v>
      </c>
      <c r="N19" s="112" t="str">
        <f>"Col "&amp;COLUMN(N20)+24</f>
        <v>Col 38</v>
      </c>
    </row>
    <row r="20" spans="1:14" s="75" customFormat="1" ht="126.6" customHeight="1">
      <c r="A20" s="112" t="s">
        <v>6</v>
      </c>
      <c r="B20" s="112" t="s">
        <v>6</v>
      </c>
      <c r="C20" s="21" t="s">
        <v>6</v>
      </c>
      <c r="D20" s="112" t="s">
        <v>6</v>
      </c>
      <c r="E20" s="120" t="str">
        <f>D19&amp;" X Category Relationship Unfreeze Factor X Net Contributor or Net Recipient Factor"</f>
        <v>Col 28 X Category Relationship Unfreeze Factor X Net Contributor or Net Recipient Factor</v>
      </c>
      <c r="F20" s="120" t="s">
        <v>6</v>
      </c>
      <c r="G20" s="120" t="str">
        <f>"("&amp;F19&amp;" / "&amp;E19&amp;")"&amp;" - 1"</f>
        <v>(Col 30 / Col 29) - 1</v>
      </c>
      <c r="H20" s="120" t="str">
        <f>"("&amp;F19&amp;" / "&amp;D19&amp;")"&amp;" - 1"</f>
        <v>(Col 30 / Col 28) - 1</v>
      </c>
      <c r="I20" s="121" t="s">
        <v>6</v>
      </c>
      <c r="J20" s="121" t="s">
        <v>6</v>
      </c>
      <c r="K20" s="121" t="s">
        <v>6</v>
      </c>
      <c r="L20" s="120" t="str">
        <f>"(("&amp;E19&amp;" X "&amp;I19&amp;") + ("&amp;E19&amp;" X "&amp;J19&amp;" X Appropriate Discount) + ("&amp;E19&amp;" X "&amp;K19&amp;" X Appropriate Discount))"</f>
        <v>((Col 29 X Col 33) + (Col 29 X Col 34 X Appropriate Discount) + (Col 29 X Col 35 X Appropriate Discount))</v>
      </c>
      <c r="M20" s="120" t="str">
        <f>"(("&amp;F19&amp;" X "&amp;I19&amp;") + ("&amp;F19&amp;" X "&amp;J19&amp;" X Appropriate Discount) + ("&amp;F19&amp;" X "&amp;K19&amp;" X Appropriate Discount))"</f>
        <v>((Col 30 X Col 33) + (Col 30 X Col 34 X Appropriate Discount) + (Col 30 X Col 35 X Appropriate Discount))</v>
      </c>
      <c r="N20" s="120" t="str">
        <f>M19&amp;" - "&amp;L19</f>
        <v>Col 37 - Col 36</v>
      </c>
    </row>
    <row r="21" spans="1:14" s="75" customFormat="1" ht="15">
      <c r="A21" s="122"/>
      <c r="B21" s="21" t="s">
        <v>48</v>
      </c>
      <c r="C21" s="21" t="s">
        <v>42</v>
      </c>
      <c r="D21" s="123"/>
      <c r="E21" s="123"/>
      <c r="F21" s="123"/>
      <c r="G21" s="123"/>
      <c r="H21" s="123"/>
      <c r="I21" s="124"/>
      <c r="J21" s="124"/>
      <c r="K21" s="124"/>
      <c r="L21" s="125"/>
      <c r="M21" s="125"/>
      <c r="N21" s="125"/>
    </row>
    <row r="22" spans="1:14" s="75" customFormat="1" ht="15">
      <c r="A22" s="122" t="s">
        <v>62</v>
      </c>
      <c r="B22" s="123" t="s">
        <v>63</v>
      </c>
      <c r="C22" s="126" t="s">
        <v>42</v>
      </c>
      <c r="D22" s="127">
        <v>5</v>
      </c>
      <c r="E22" s="127">
        <f>ROUND($D22*$B$9*$B$10,2)</f>
        <v>2.80</v>
      </c>
      <c r="F22" s="127">
        <v>2.80</v>
      </c>
      <c r="G22" s="128">
        <f>IFERROR(($F22/$E22)-1,0)</f>
        <v>0</v>
      </c>
      <c r="H22" s="128">
        <f>IFERROR(($F22/$D22)-1,0)</f>
        <v>-0.44000000000000006</v>
      </c>
      <c r="I22" s="124">
        <v>100</v>
      </c>
      <c r="J22" s="124">
        <v>10</v>
      </c>
      <c r="K22" s="124">
        <v>5</v>
      </c>
      <c r="L22" s="129">
        <f>IFERROR((($E22*$I22)+($E22*$J22*0.8)+($E22*$K22*0.9)),0)</f>
        <v>315</v>
      </c>
      <c r="M22" s="129">
        <f>IFERROR((($F22*$I22)+($F22*$J22*0.8)+($F22*$K22*0.9)),0)</f>
        <v>315</v>
      </c>
      <c r="N22" s="129">
        <f>IFERROR($M22-$L22,0)</f>
        <v>0</v>
      </c>
    </row>
    <row r="23" spans="1:14" s="75" customFormat="1" ht="15">
      <c r="A23" s="122"/>
      <c r="B23" s="123"/>
      <c r="C23" s="126"/>
      <c r="D23" s="127"/>
      <c r="E23" s="127">
        <f t="shared" si="1" ref="E23:E26">ROUND($D23*$B$9*$B$10,2)</f>
        <v>0</v>
      </c>
      <c r="F23" s="127"/>
      <c r="G23" s="128">
        <f>IFERROR(($F23/$E23)-1,0)</f>
        <v>0</v>
      </c>
      <c r="H23" s="128">
        <f t="shared" si="2" ref="H23:H26">IFERROR(($F23/$D23)-1,0)</f>
        <v>0</v>
      </c>
      <c r="I23" s="124"/>
      <c r="J23" s="124"/>
      <c r="K23" s="124"/>
      <c r="L23" s="129">
        <f t="shared" si="3" ref="L23:L26">IFERROR((($E23*$I23)+($E23*$J23*0.8)+($E23*$K23*0.9)),0)</f>
        <v>0</v>
      </c>
      <c r="M23" s="129">
        <f t="shared" si="4" ref="M23:M26">IFERROR((($F23*$I23)+($F23*$J23*0.8)+($F23*$K23*0.9)),0)</f>
        <v>0</v>
      </c>
      <c r="N23" s="129">
        <f>IFERROR($M23-$L23,0)</f>
        <v>0</v>
      </c>
    </row>
    <row r="24" spans="1:14" s="75" customFormat="1" ht="15">
      <c r="A24" s="122"/>
      <c r="B24" s="123"/>
      <c r="C24" s="126"/>
      <c r="D24" s="127"/>
      <c r="E24" s="127">
        <f>ROUND($D24*$B$9*$B$10,2)</f>
        <v>0</v>
      </c>
      <c r="F24" s="127"/>
      <c r="G24" s="128">
        <f t="shared" si="5" ref="G24:G26">IFERROR(($F24/$E24)-1,0)</f>
        <v>0</v>
      </c>
      <c r="H24" s="128">
        <f>IFERROR(($F24/$D24)-1,0)</f>
        <v>0</v>
      </c>
      <c r="I24" s="124"/>
      <c r="J24" s="124"/>
      <c r="K24" s="124"/>
      <c r="L24" s="129">
        <f>IFERROR((($E24*$I24)+($E24*$J24*0.8)+($E24*$K24*0.9)),0)</f>
        <v>0</v>
      </c>
      <c r="M24" s="129">
        <f>IFERROR((($F24*$I24)+($F24*$J24*0.8)+($F24*$K24*0.9)),0)</f>
        <v>0</v>
      </c>
      <c r="N24" s="129">
        <f>IFERROR($M24-$L24,0)</f>
        <v>0</v>
      </c>
    </row>
    <row r="25" spans="1:14" s="75" customFormat="1" ht="15">
      <c r="A25" s="122"/>
      <c r="B25" s="123"/>
      <c r="C25" s="126"/>
      <c r="D25" s="127"/>
      <c r="E25" s="127">
        <f>ROUND($D25*$B$9*$B$10,2)</f>
        <v>0</v>
      </c>
      <c r="F25" s="127"/>
      <c r="G25" s="128">
        <f>IFERROR(($F25/$E25)-1,0)</f>
        <v>0</v>
      </c>
      <c r="H25" s="128">
        <f>IFERROR(($F25/$D25)-1,0)</f>
        <v>0</v>
      </c>
      <c r="I25" s="124"/>
      <c r="J25" s="124"/>
      <c r="K25" s="124"/>
      <c r="L25" s="129">
        <f>IFERROR((($E25*$I25)+($E25*$J25*0.8)+($E25*$K25*0.9)),0)</f>
        <v>0</v>
      </c>
      <c r="M25" s="129">
        <f>IFERROR((($F25*$I25)+($F25*$J25*0.8)+($F25*$K25*0.9)),0)</f>
        <v>0</v>
      </c>
      <c r="N25" s="129">
        <f>IFERROR($M25-$L25,0)</f>
        <v>0</v>
      </c>
    </row>
    <row r="26" spans="1:14" s="75" customFormat="1" ht="15">
      <c r="A26" s="122"/>
      <c r="B26" s="123"/>
      <c r="C26" s="126"/>
      <c r="D26" s="127"/>
      <c r="E26" s="127">
        <f>ROUND($D26*$B$9*$B$10,2)</f>
        <v>0</v>
      </c>
      <c r="F26" s="127"/>
      <c r="G26" s="128">
        <f>IFERROR(($F26/$E26)-1,0)</f>
        <v>0</v>
      </c>
      <c r="H26" s="128">
        <f>IFERROR(($F26/$D26)-1,0)</f>
        <v>0</v>
      </c>
      <c r="I26" s="124"/>
      <c r="J26" s="124"/>
      <c r="K26" s="124"/>
      <c r="L26" s="129">
        <f>IFERROR((($E26*$I26)+($E26*$J26*0.8)+($E26*$K26*0.9)),0)</f>
        <v>0</v>
      </c>
      <c r="M26" s="129">
        <f>IFERROR((($F26*$I26)+($F26*$J26*0.8)+($F26*$K26*0.9)),0)</f>
        <v>0</v>
      </c>
      <c r="N26" s="129">
        <f>IFERROR($M26-$L26,0)</f>
        <v>0</v>
      </c>
    </row>
    <row r="27" spans="1:14" s="75" customFormat="1" ht="15">
      <c r="A27" s="122"/>
      <c r="B27" s="21" t="s">
        <v>47</v>
      </c>
      <c r="C27" s="21" t="s">
        <v>43</v>
      </c>
      <c r="D27" s="127"/>
      <c r="E27" s="127"/>
      <c r="F27" s="127"/>
      <c r="G27" s="128"/>
      <c r="H27" s="128"/>
      <c r="I27" s="124"/>
      <c r="J27" s="124"/>
      <c r="K27" s="124"/>
      <c r="L27" s="125"/>
      <c r="M27" s="125"/>
      <c r="N27" s="125"/>
    </row>
    <row r="28" spans="1:14" s="75" customFormat="1" ht="15">
      <c r="A28" s="122" t="s">
        <v>62</v>
      </c>
      <c r="B28" s="123" t="s">
        <v>64</v>
      </c>
      <c r="C28" s="126" t="s">
        <v>43</v>
      </c>
      <c r="D28" s="127">
        <v>10</v>
      </c>
      <c r="E28" s="127">
        <f>ROUND($D28*$B$9*$B$10,2)</f>
        <v>5.60</v>
      </c>
      <c r="F28" s="127">
        <v>5.60</v>
      </c>
      <c r="G28" s="128">
        <f>IFERROR(($F28/$E28)-1,0)</f>
        <v>0</v>
      </c>
      <c r="H28" s="128">
        <f>IFERROR(($F28/$D28)-1,0)</f>
        <v>-0.44000000000000006</v>
      </c>
      <c r="I28" s="124">
        <v>100</v>
      </c>
      <c r="J28" s="124">
        <v>10</v>
      </c>
      <c r="K28" s="124">
        <v>5</v>
      </c>
      <c r="L28" s="129">
        <f>IFERROR((($E28*$I28)+($E28*$J28*0.8)+($E28*$K28*0.9)),0)</f>
        <v>630</v>
      </c>
      <c r="M28" s="129">
        <f>IFERROR((($F28*$I28)+($F28*$J28*0.8)+($F28*$K28*0.9)),0)</f>
        <v>630</v>
      </c>
      <c r="N28" s="129">
        <f>IFERROR($M28-$L28,0)</f>
        <v>0</v>
      </c>
    </row>
    <row r="29" spans="1:14" s="75" customFormat="1" ht="15">
      <c r="A29" s="122"/>
      <c r="B29" s="123"/>
      <c r="C29" s="126"/>
      <c r="D29" s="127"/>
      <c r="E29" s="127">
        <f t="shared" si="6" ref="E29:E32">ROUND($D29*$B$9*$B$10,2)</f>
        <v>0</v>
      </c>
      <c r="F29" s="127"/>
      <c r="G29" s="128">
        <f>IFERROR(($F29/$E29)-1,0)</f>
        <v>0</v>
      </c>
      <c r="H29" s="128">
        <f t="shared" si="7" ref="H29:H32">IFERROR(($F29/$D29)-1,0)</f>
        <v>0</v>
      </c>
      <c r="I29" s="124"/>
      <c r="J29" s="124"/>
      <c r="K29" s="124"/>
      <c r="L29" s="129">
        <f t="shared" si="8" ref="L29:L32">IFERROR((($E29*$I29)+($E29*$J29*0.8)+($E29*$K29*0.9)),0)</f>
        <v>0</v>
      </c>
      <c r="M29" s="129">
        <f t="shared" si="9" ref="M29:M32">IFERROR((($F29*$I29)+($F29*$J29*0.8)+($F29*$K29*0.9)),0)</f>
        <v>0</v>
      </c>
      <c r="N29" s="129">
        <f>IFERROR($M29-$L29,0)</f>
        <v>0</v>
      </c>
    </row>
    <row r="30" spans="1:14" s="75" customFormat="1" ht="15">
      <c r="A30" s="122"/>
      <c r="B30" s="123"/>
      <c r="C30" s="126"/>
      <c r="D30" s="127"/>
      <c r="E30" s="127">
        <f>ROUND($D30*$B$9*$B$10,2)</f>
        <v>0</v>
      </c>
      <c r="F30" s="127"/>
      <c r="G30" s="128">
        <f t="shared" si="10" ref="G30:G32">IFERROR(($F30/$E30)-1,0)</f>
        <v>0</v>
      </c>
      <c r="H30" s="128">
        <f>IFERROR(($F30/$D30)-1,0)</f>
        <v>0</v>
      </c>
      <c r="I30" s="124"/>
      <c r="J30" s="124"/>
      <c r="K30" s="124"/>
      <c r="L30" s="129">
        <f>IFERROR((($E30*$I30)+($E30*$J30*0.8)+($E30*$K30*0.9)),0)</f>
        <v>0</v>
      </c>
      <c r="M30" s="129">
        <f>IFERROR((($F30*$I30)+($F30*$J30*0.8)+($F30*$K30*0.9)),0)</f>
        <v>0</v>
      </c>
      <c r="N30" s="129">
        <f>IFERROR($M30-$L30,0)</f>
        <v>0</v>
      </c>
    </row>
    <row r="31" spans="1:14" s="75" customFormat="1" ht="15">
      <c r="A31" s="122"/>
      <c r="B31" s="123"/>
      <c r="C31" s="126"/>
      <c r="D31" s="127"/>
      <c r="E31" s="127">
        <f>ROUND($D31*$B$9*$B$10,2)</f>
        <v>0</v>
      </c>
      <c r="F31" s="127"/>
      <c r="G31" s="128">
        <f>IFERROR(($F31/$E31)-1,0)</f>
        <v>0</v>
      </c>
      <c r="H31" s="128">
        <f>IFERROR(($F31/$D31)-1,0)</f>
        <v>0</v>
      </c>
      <c r="I31" s="124"/>
      <c r="J31" s="124"/>
      <c r="K31" s="124"/>
      <c r="L31" s="129">
        <f>IFERROR((($E31*$I31)+($E31*$J31*0.8)+($E31*$K31*0.9)),0)</f>
        <v>0</v>
      </c>
      <c r="M31" s="129">
        <f>IFERROR((($F31*$I31)+($F31*$J31*0.8)+($F31*$K31*0.9)),0)</f>
        <v>0</v>
      </c>
      <c r="N31" s="129">
        <f>IFERROR($M31-$L31,0)</f>
        <v>0</v>
      </c>
    </row>
    <row r="32" spans="1:14" s="75" customFormat="1" ht="15">
      <c r="A32" s="122"/>
      <c r="B32" s="123"/>
      <c r="C32" s="126"/>
      <c r="D32" s="127"/>
      <c r="E32" s="127">
        <f>ROUND($D32*$B$9*$B$10,2)</f>
        <v>0</v>
      </c>
      <c r="F32" s="127"/>
      <c r="G32" s="128">
        <f>IFERROR(($F32/$E32)-1,0)</f>
        <v>0</v>
      </c>
      <c r="H32" s="128">
        <f>IFERROR(($F32/$D32)-1,0)</f>
        <v>0</v>
      </c>
      <c r="I32" s="124"/>
      <c r="J32" s="124"/>
      <c r="K32" s="124"/>
      <c r="L32" s="129">
        <f>IFERROR((($E32*$I32)+($E32*$J32*0.8)+($E32*$K32*0.9)),0)</f>
        <v>0</v>
      </c>
      <c r="M32" s="129">
        <f>IFERROR((($F32*$I32)+($F32*$J32*0.8)+($F32*$K32*0.9)),0)</f>
        <v>0</v>
      </c>
      <c r="N32" s="129">
        <f>IFERROR($M32-$L32,0)</f>
        <v>0</v>
      </c>
    </row>
    <row r="33" spans="1:14" s="75" customFormat="1" ht="15">
      <c r="A33" s="122"/>
      <c r="B33" s="21" t="s">
        <v>46</v>
      </c>
      <c r="C33" s="21" t="s">
        <v>44</v>
      </c>
      <c r="D33" s="127"/>
      <c r="E33" s="127"/>
      <c r="F33" s="127"/>
      <c r="G33" s="128"/>
      <c r="H33" s="128"/>
      <c r="I33" s="124"/>
      <c r="J33" s="124"/>
      <c r="K33" s="124"/>
      <c r="L33" s="125"/>
      <c r="M33" s="125"/>
      <c r="N33" s="125"/>
    </row>
    <row r="34" spans="1:14" s="75" customFormat="1" ht="15">
      <c r="A34" s="122" t="s">
        <v>62</v>
      </c>
      <c r="B34" s="123" t="s">
        <v>65</v>
      </c>
      <c r="C34" s="126" t="s">
        <v>44</v>
      </c>
      <c r="D34" s="127">
        <v>15</v>
      </c>
      <c r="E34" s="127">
        <f>ROUND($D34*$B$9*$B$10,2)</f>
        <v>8.40</v>
      </c>
      <c r="F34" s="127">
        <v>8.40</v>
      </c>
      <c r="G34" s="128">
        <f>IFERROR(($F34/$E34)-1,0)</f>
        <v>0</v>
      </c>
      <c r="H34" s="128">
        <f>IFERROR(($F34/$D34)-1,0)</f>
        <v>-0.43999999999999995</v>
      </c>
      <c r="I34" s="124">
        <v>100</v>
      </c>
      <c r="J34" s="124">
        <v>10</v>
      </c>
      <c r="K34" s="124">
        <v>5</v>
      </c>
      <c r="L34" s="129">
        <f>IFERROR((($E34*$I34)+($E34*$J34*0.8)+($E34*$K34*0.9)),0)</f>
        <v>945</v>
      </c>
      <c r="M34" s="129">
        <f>IFERROR((($F34*$I34)+($F34*$J34*0.8)+($F34*$K34*0.9)),0)</f>
        <v>945</v>
      </c>
      <c r="N34" s="129">
        <f>IFERROR($M34-$L34,0)</f>
        <v>0</v>
      </c>
    </row>
    <row r="35" spans="1:14" s="75" customFormat="1" ht="15">
      <c r="A35" s="122"/>
      <c r="B35" s="123"/>
      <c r="C35" s="126"/>
      <c r="D35" s="127"/>
      <c r="E35" s="127">
        <f t="shared" si="11" ref="E35:E38">ROUND($D35*$B$9*$B$10,2)</f>
        <v>0</v>
      </c>
      <c r="F35" s="127"/>
      <c r="G35" s="128">
        <f>IFERROR(($F35/$E35)-1,0)</f>
        <v>0</v>
      </c>
      <c r="H35" s="128">
        <f t="shared" si="12" ref="H35:H38">IFERROR(($F35/$D35)-1,0)</f>
        <v>0</v>
      </c>
      <c r="I35" s="124"/>
      <c r="J35" s="124"/>
      <c r="K35" s="124"/>
      <c r="L35" s="129">
        <f t="shared" si="13" ref="L35:L38">IFERROR((($E35*$I35)+($E35*$J35*0.8)+($E35*$K35*0.9)),0)</f>
        <v>0</v>
      </c>
      <c r="M35" s="129">
        <f t="shared" si="14" ref="M35:M38">IFERROR((($F35*$I35)+($F35*$J35*0.8)+($F35*$K35*0.9)),0)</f>
        <v>0</v>
      </c>
      <c r="N35" s="129">
        <f>IFERROR($M35-$L35,0)</f>
        <v>0</v>
      </c>
    </row>
    <row r="36" spans="1:14" s="75" customFormat="1" ht="15">
      <c r="A36" s="122"/>
      <c r="B36" s="123"/>
      <c r="C36" s="126"/>
      <c r="D36" s="127"/>
      <c r="E36" s="127">
        <f>ROUND($D36*$B$9*$B$10,2)</f>
        <v>0</v>
      </c>
      <c r="F36" s="127"/>
      <c r="G36" s="128">
        <f t="shared" si="15" ref="G36:G38">IFERROR(($F36/$E36)-1,0)</f>
        <v>0</v>
      </c>
      <c r="H36" s="128">
        <f>IFERROR(($F36/$D36)-1,0)</f>
        <v>0</v>
      </c>
      <c r="I36" s="124"/>
      <c r="J36" s="124"/>
      <c r="K36" s="124"/>
      <c r="L36" s="129">
        <f>IFERROR((($E36*$I36)+($E36*$J36*0.8)+($E36*$K36*0.9)),0)</f>
        <v>0</v>
      </c>
      <c r="M36" s="129">
        <f>IFERROR((($F36*$I36)+($F36*$J36*0.8)+($F36*$K36*0.9)),0)</f>
        <v>0</v>
      </c>
      <c r="N36" s="129">
        <f>IFERROR($M36-$L36,0)</f>
        <v>0</v>
      </c>
    </row>
    <row r="37" spans="1:14" s="75" customFormat="1" ht="15">
      <c r="A37" s="122"/>
      <c r="B37" s="123"/>
      <c r="C37" s="126"/>
      <c r="D37" s="127"/>
      <c r="E37" s="127">
        <f>ROUND($D37*$B$9*$B$10,2)</f>
        <v>0</v>
      </c>
      <c r="F37" s="127"/>
      <c r="G37" s="128">
        <f>IFERROR(($F37/$E37)-1,0)</f>
        <v>0</v>
      </c>
      <c r="H37" s="128">
        <f>IFERROR(($F37/$D37)-1,0)</f>
        <v>0</v>
      </c>
      <c r="I37" s="124"/>
      <c r="J37" s="124"/>
      <c r="K37" s="124"/>
      <c r="L37" s="129">
        <f>IFERROR((($E37*$I37)+($E37*$J37*0.8)+($E37*$K37*0.9)),0)</f>
        <v>0</v>
      </c>
      <c r="M37" s="129">
        <f>IFERROR((($F37*$I37)+($F37*$J37*0.8)+($F37*$K37*0.9)),0)</f>
        <v>0</v>
      </c>
      <c r="N37" s="129">
        <f>IFERROR($M37-$L37,0)</f>
        <v>0</v>
      </c>
    </row>
    <row r="38" spans="1:14" s="75" customFormat="1" ht="15">
      <c r="A38" s="122"/>
      <c r="B38" s="123"/>
      <c r="C38" s="126"/>
      <c r="D38" s="127"/>
      <c r="E38" s="127">
        <f>ROUND($D38*$B$9*$B$10,2)</f>
        <v>0</v>
      </c>
      <c r="F38" s="127"/>
      <c r="G38" s="128">
        <f>IFERROR(($F38/$E38)-1,0)</f>
        <v>0</v>
      </c>
      <c r="H38" s="128">
        <f>IFERROR(($F38/$D38)-1,0)</f>
        <v>0</v>
      </c>
      <c r="I38" s="124"/>
      <c r="J38" s="124"/>
      <c r="K38" s="124"/>
      <c r="L38" s="129">
        <f>IFERROR((($E38*$I38)+($E38*$J38*0.8)+($E38*$K38*0.9)),0)</f>
        <v>0</v>
      </c>
      <c r="M38" s="129">
        <f>IFERROR((($F38*$I38)+($F38*$J38*0.8)+($F38*$K38*0.9)),0)</f>
        <v>0</v>
      </c>
      <c r="N38" s="129">
        <f>IFERROR($M38-$L38,0)</f>
        <v>0</v>
      </c>
    </row>
    <row r="39" spans="1:14" s="75" customFormat="1" ht="15">
      <c r="A39" s="122"/>
      <c r="B39" s="21" t="s">
        <v>45</v>
      </c>
      <c r="C39" s="21" t="s">
        <v>61</v>
      </c>
      <c r="D39" s="127"/>
      <c r="E39" s="127"/>
      <c r="F39" s="127"/>
      <c r="G39" s="128"/>
      <c r="H39" s="128"/>
      <c r="I39" s="124"/>
      <c r="J39" s="124"/>
      <c r="K39" s="124"/>
      <c r="L39" s="125"/>
      <c r="M39" s="125"/>
      <c r="N39" s="125"/>
    </row>
    <row r="40" spans="1:14" s="75" customFormat="1" ht="15">
      <c r="A40" s="122" t="s">
        <v>62</v>
      </c>
      <c r="B40" s="123" t="s">
        <v>66</v>
      </c>
      <c r="C40" s="126" t="s">
        <v>61</v>
      </c>
      <c r="D40" s="127">
        <v>1</v>
      </c>
      <c r="E40" s="127">
        <f>ROUND($D40*$B$9*$B$10,2)</f>
        <v>0.56</v>
      </c>
      <c r="F40" s="127">
        <v>0.56</v>
      </c>
      <c r="G40" s="128">
        <f>IFERROR(($F40/$E40)-1,0)</f>
        <v>0</v>
      </c>
      <c r="H40" s="128">
        <f>IFERROR(($F40/$D40)-1,0)</f>
        <v>-0.43999999999999995</v>
      </c>
      <c r="I40" s="124">
        <v>1</v>
      </c>
      <c r="J40" s="124">
        <v>0</v>
      </c>
      <c r="K40" s="124">
        <v>0</v>
      </c>
      <c r="L40" s="129">
        <f>IFERROR((($E40*$I40)+($E40*$J40*0.8)+($E40*$K40*0.9)),0)</f>
        <v>0.56</v>
      </c>
      <c r="M40" s="129">
        <f>IFERROR((($F40*$I40)+($F40*$J40*0.8)+($F40*$K40*0.9)),0)</f>
        <v>0.56</v>
      </c>
      <c r="N40" s="129">
        <f>IFERROR($M40-$L40,0)</f>
        <v>0</v>
      </c>
    </row>
    <row r="41" spans="1:14" s="75" customFormat="1" ht="15">
      <c r="A41" s="122"/>
      <c r="B41" s="123"/>
      <c r="C41" s="126"/>
      <c r="D41" s="127"/>
      <c r="E41" s="127">
        <f t="shared" si="16" ref="E41:E44">ROUND($D41*$B$9*$B$10,2)</f>
        <v>0</v>
      </c>
      <c r="F41" s="127"/>
      <c r="G41" s="128">
        <f>IFERROR(($F41/$E41)-1,0)</f>
        <v>0</v>
      </c>
      <c r="H41" s="128">
        <f t="shared" si="17" ref="H41:H44">IFERROR(($F41/$D41)-1,0)</f>
        <v>0</v>
      </c>
      <c r="I41" s="124"/>
      <c r="J41" s="124"/>
      <c r="K41" s="124"/>
      <c r="L41" s="129">
        <f t="shared" si="18" ref="L41:L44">IFERROR((($E41*$I41)+($E41*$J41*0.8)+($E41*$K41*0.9)),0)</f>
        <v>0</v>
      </c>
      <c r="M41" s="129">
        <f t="shared" si="19" ref="M41:M44">IFERROR((($F41*$I41)+($F41*$J41*0.8)+($F41*$K41*0.9)),0)</f>
        <v>0</v>
      </c>
      <c r="N41" s="129">
        <f>IFERROR($M41-$L41,0)</f>
        <v>0</v>
      </c>
    </row>
    <row r="42" spans="1:14" s="75" customFormat="1" ht="15">
      <c r="A42" s="122"/>
      <c r="B42" s="123"/>
      <c r="C42" s="126"/>
      <c r="D42" s="127"/>
      <c r="E42" s="127">
        <f>ROUND($D42*$B$9*$B$10,2)</f>
        <v>0</v>
      </c>
      <c r="F42" s="127"/>
      <c r="G42" s="128">
        <f t="shared" si="20" ref="G42:G44">IFERROR(($F42/$E42)-1,0)</f>
        <v>0</v>
      </c>
      <c r="H42" s="128">
        <f>IFERROR(($F42/$D42)-1,0)</f>
        <v>0</v>
      </c>
      <c r="I42" s="124"/>
      <c r="J42" s="124"/>
      <c r="K42" s="124"/>
      <c r="L42" s="129">
        <f>IFERROR((($E42*$I42)+($E42*$J42*0.8)+($E42*$K42*0.9)),0)</f>
        <v>0</v>
      </c>
      <c r="M42" s="129">
        <f>IFERROR((($F42*$I42)+($F42*$J42*0.8)+($F42*$K42*0.9)),0)</f>
        <v>0</v>
      </c>
      <c r="N42" s="129">
        <f>IFERROR($M42-$L42,0)</f>
        <v>0</v>
      </c>
    </row>
    <row r="43" spans="1:14" s="75" customFormat="1" ht="15">
      <c r="A43" s="122"/>
      <c r="B43" s="123"/>
      <c r="C43" s="126"/>
      <c r="D43" s="127"/>
      <c r="E43" s="127">
        <f>ROUND($D43*$B$9*$B$10,2)</f>
        <v>0</v>
      </c>
      <c r="F43" s="127"/>
      <c r="G43" s="128">
        <f>IFERROR(($F43/$E43)-1,0)</f>
        <v>0</v>
      </c>
      <c r="H43" s="128">
        <f>IFERROR(($F43/$D43)-1,0)</f>
        <v>0</v>
      </c>
      <c r="I43" s="124"/>
      <c r="J43" s="124"/>
      <c r="K43" s="124"/>
      <c r="L43" s="129">
        <f>IFERROR((($E43*$I43)+($E43*$J43*0.8)+($E43*$K43*0.9)),0)</f>
        <v>0</v>
      </c>
      <c r="M43" s="129">
        <f>IFERROR((($F43*$I43)+($F43*$J43*0.8)+($F43*$K43*0.9)),0)</f>
        <v>0</v>
      </c>
      <c r="N43" s="129">
        <f>IFERROR($M43-$L43,0)</f>
        <v>0</v>
      </c>
    </row>
    <row r="44" spans="1:14" s="75" customFormat="1" ht="15">
      <c r="A44" s="122"/>
      <c r="B44" s="123"/>
      <c r="C44" s="126"/>
      <c r="D44" s="127"/>
      <c r="E44" s="127">
        <f>ROUND($D44*$B$9*$B$10,2)</f>
        <v>0</v>
      </c>
      <c r="F44" s="127"/>
      <c r="G44" s="128">
        <f>IFERROR(($F44/$E44)-1,0)</f>
        <v>0</v>
      </c>
      <c r="H44" s="128">
        <f>IFERROR(($F44/$D44)-1,0)</f>
        <v>0</v>
      </c>
      <c r="I44" s="124"/>
      <c r="J44" s="124"/>
      <c r="K44" s="124"/>
      <c r="L44" s="129">
        <f>IFERROR((($E44*$I44)+($E44*$J44*0.8)+($E44*$K44*0.9)),0)</f>
        <v>0</v>
      </c>
      <c r="M44" s="129">
        <f>IFERROR((($F44*$I44)+($F44*$J44*0.8)+($F44*$K44*0.9)),0)</f>
        <v>0</v>
      </c>
      <c r="N44" s="129">
        <f>IFERROR($M44-$L44,0)</f>
        <v>0</v>
      </c>
    </row>
    <row r="45" spans="1:14" s="75" customFormat="1" ht="15">
      <c r="A45" s="122"/>
      <c r="B45" s="21" t="s">
        <v>50</v>
      </c>
      <c r="C45" s="21" t="s">
        <v>51</v>
      </c>
      <c r="D45" s="127"/>
      <c r="E45" s="127"/>
      <c r="F45" s="127"/>
      <c r="G45" s="128"/>
      <c r="H45" s="128"/>
      <c r="I45" s="124"/>
      <c r="J45" s="124"/>
      <c r="K45" s="124"/>
      <c r="L45" s="125"/>
      <c r="M45" s="125"/>
      <c r="N45" s="125"/>
    </row>
    <row r="46" spans="1:14" s="75" customFormat="1" ht="30">
      <c r="A46" s="122" t="s">
        <v>62</v>
      </c>
      <c r="B46" s="123" t="s">
        <v>67</v>
      </c>
      <c r="C46" s="126" t="s">
        <v>51</v>
      </c>
      <c r="D46" s="127">
        <v>20</v>
      </c>
      <c r="E46" s="127">
        <f>ROUND($D46*$B$9*$B$10,2)</f>
        <v>11.19</v>
      </c>
      <c r="F46" s="127">
        <v>11.19</v>
      </c>
      <c r="G46" s="128">
        <f>IFERROR(($F46/$E46)-1,0)</f>
        <v>0</v>
      </c>
      <c r="H46" s="128">
        <f>IFERROR(($F46/$D46)-1,0)</f>
        <v>-0.4405</v>
      </c>
      <c r="I46" s="124">
        <v>100</v>
      </c>
      <c r="J46" s="124">
        <v>10</v>
      </c>
      <c r="K46" s="124">
        <v>5</v>
      </c>
      <c r="L46" s="129">
        <f>IFERROR((($E46*$I46)+($E46*$J46*0.8)+($E46*$K46*0.9)),0)</f>
        <v>1258.875</v>
      </c>
      <c r="M46" s="129">
        <f>IFERROR((($F46*$I46)+($F46*$J46*0.8)+($F46*$K46*0.9)),0)</f>
        <v>1258.875</v>
      </c>
      <c r="N46" s="129">
        <f>IFERROR($M46-$L46,0)</f>
        <v>0</v>
      </c>
    </row>
    <row r="47" spans="1:14" s="75" customFormat="1" ht="15">
      <c r="A47" s="122"/>
      <c r="B47" s="123"/>
      <c r="C47" s="126"/>
      <c r="D47" s="127"/>
      <c r="E47" s="127">
        <f t="shared" si="21" ref="E47:E50">ROUND($D47*$B$9*$B$10,2)</f>
        <v>0</v>
      </c>
      <c r="F47" s="127"/>
      <c r="G47" s="128">
        <f>IFERROR(($F47/$E47)-1,0)</f>
        <v>0</v>
      </c>
      <c r="H47" s="128">
        <f t="shared" si="22" ref="H47:H50">IFERROR(($F47/$D47)-1,0)</f>
        <v>0</v>
      </c>
      <c r="I47" s="124"/>
      <c r="J47" s="124"/>
      <c r="K47" s="124"/>
      <c r="L47" s="129">
        <f t="shared" si="23" ref="L47:L50">IFERROR((($E47*$I47)+($E47*$J47*0.8)+($E47*$K47*0.9)),0)</f>
        <v>0</v>
      </c>
      <c r="M47" s="129">
        <f t="shared" si="24" ref="M47:M50">IFERROR((($F47*$I47)+($F47*$J47*0.8)+($F47*$K47*0.9)),0)</f>
        <v>0</v>
      </c>
      <c r="N47" s="129">
        <f>IFERROR($M47-$L47,0)</f>
        <v>0</v>
      </c>
    </row>
    <row r="48" spans="1:14" s="75" customFormat="1" ht="15">
      <c r="A48" s="122"/>
      <c r="B48" s="123"/>
      <c r="C48" s="126"/>
      <c r="D48" s="127"/>
      <c r="E48" s="127">
        <f>ROUND($D48*$B$9*$B$10,2)</f>
        <v>0</v>
      </c>
      <c r="F48" s="127"/>
      <c r="G48" s="128">
        <f t="shared" si="25" ref="G48:G50">IFERROR(($F48/$E48)-1,0)</f>
        <v>0</v>
      </c>
      <c r="H48" s="128">
        <f>IFERROR(($F48/$D48)-1,0)</f>
        <v>0</v>
      </c>
      <c r="I48" s="124"/>
      <c r="J48" s="124"/>
      <c r="K48" s="124"/>
      <c r="L48" s="129">
        <f>IFERROR((($E48*$I48)+($E48*$J48*0.8)+($E48*$K48*0.9)),0)</f>
        <v>0</v>
      </c>
      <c r="M48" s="129">
        <f>IFERROR((($F48*$I48)+($F48*$J48*0.8)+($F48*$K48*0.9)),0)</f>
        <v>0</v>
      </c>
      <c r="N48" s="129">
        <f>IFERROR($M48-$L48,0)</f>
        <v>0</v>
      </c>
    </row>
    <row r="49" spans="1:14" s="75" customFormat="1" ht="15">
      <c r="A49" s="122"/>
      <c r="B49" s="123"/>
      <c r="C49" s="126"/>
      <c r="D49" s="127"/>
      <c r="E49" s="127">
        <f>ROUND($D49*$B$9*$B$10,2)</f>
        <v>0</v>
      </c>
      <c r="F49" s="127"/>
      <c r="G49" s="128">
        <f>IFERROR(($F49/$E49)-1,0)</f>
        <v>0</v>
      </c>
      <c r="H49" s="128">
        <f>IFERROR(($F49/$D49)-1,0)</f>
        <v>0</v>
      </c>
      <c r="I49" s="124"/>
      <c r="J49" s="124"/>
      <c r="K49" s="124"/>
      <c r="L49" s="129">
        <f>IFERROR((($E49*$I49)+($E49*$J49*0.8)+($E49*$K49*0.9)),0)</f>
        <v>0</v>
      </c>
      <c r="M49" s="129">
        <f>IFERROR((($F49*$I49)+($F49*$J49*0.8)+($F49*$K49*0.9)),0)</f>
        <v>0</v>
      </c>
      <c r="N49" s="129">
        <f>IFERROR($M49-$L49,0)</f>
        <v>0</v>
      </c>
    </row>
    <row r="50" spans="1:14" s="75" customFormat="1" ht="15">
      <c r="A50" s="122"/>
      <c r="B50" s="123"/>
      <c r="C50" s="126"/>
      <c r="D50" s="127"/>
      <c r="E50" s="127">
        <f>ROUND($D50*$B$9*$B$10,2)</f>
        <v>0</v>
      </c>
      <c r="F50" s="127"/>
      <c r="G50" s="128">
        <f>IFERROR(($F50/$E50)-1,0)</f>
        <v>0</v>
      </c>
      <c r="H50" s="128">
        <f>IFERROR(($F50/$D50)-1,0)</f>
        <v>0</v>
      </c>
      <c r="I50" s="124"/>
      <c r="J50" s="124"/>
      <c r="K50" s="124"/>
      <c r="L50" s="129">
        <f>IFERROR((($E50*$I50)+($E50*$J50*0.8)+($E50*$K50*0.9)),0)</f>
        <v>0</v>
      </c>
      <c r="M50" s="129">
        <f>IFERROR((($F50*$I50)+($F50*$J50*0.8)+($F50*$K50*0.9)),0)</f>
        <v>0</v>
      </c>
      <c r="N50" s="129">
        <f>IFERROR($M50-$L50,0)</f>
        <v>0</v>
      </c>
    </row>
    <row r="51" spans="1:14" s="75" customFormat="1" ht="15">
      <c r="A51" s="122"/>
      <c r="B51" s="21" t="s">
        <v>52</v>
      </c>
      <c r="C51" s="21" t="s">
        <v>53</v>
      </c>
      <c r="D51" s="127"/>
      <c r="E51" s="127"/>
      <c r="F51" s="127"/>
      <c r="G51" s="128"/>
      <c r="H51" s="128"/>
      <c r="I51" s="124"/>
      <c r="J51" s="124"/>
      <c r="K51" s="124"/>
      <c r="L51" s="125"/>
      <c r="M51" s="125"/>
      <c r="N51" s="125"/>
    </row>
    <row r="52" spans="1:14" s="75" customFormat="1" ht="15">
      <c r="A52" s="122" t="s">
        <v>62</v>
      </c>
      <c r="B52" s="123" t="s">
        <v>68</v>
      </c>
      <c r="C52" s="126" t="s">
        <v>53</v>
      </c>
      <c r="D52" s="127">
        <v>25</v>
      </c>
      <c r="E52" s="127">
        <f>ROUND($D52*$B$9*$B$10,2)</f>
        <v>13.99</v>
      </c>
      <c r="F52" s="127">
        <v>13.99</v>
      </c>
      <c r="G52" s="128">
        <f>IFERROR(($F52/$E52)-1,0)</f>
        <v>0</v>
      </c>
      <c r="H52" s="128">
        <f>IFERROR(($F52/$D52)-1,0)</f>
        <v>-0.4404</v>
      </c>
      <c r="I52" s="124">
        <v>100</v>
      </c>
      <c r="J52" s="124">
        <v>10</v>
      </c>
      <c r="K52" s="124">
        <v>5</v>
      </c>
      <c r="L52" s="129">
        <f>IFERROR((($E52*$I52)+($E52*$J52*0.8)+($E52*$K52*0.9)),0)</f>
        <v>1573.875</v>
      </c>
      <c r="M52" s="129">
        <f>IFERROR((($F52*$I52)+($F52*$J52*0.8)+($F52*$K52*0.9)),0)</f>
        <v>1573.875</v>
      </c>
      <c r="N52" s="129">
        <f>IFERROR($M52-$L52,0)</f>
        <v>0</v>
      </c>
    </row>
    <row r="53" spans="1:14" s="75" customFormat="1" ht="15">
      <c r="A53" s="122"/>
      <c r="B53" s="123"/>
      <c r="C53" s="126"/>
      <c r="D53" s="127"/>
      <c r="E53" s="127">
        <f t="shared" si="26" ref="E53:E56">ROUND($D53*$B$9*$B$10,2)</f>
        <v>0</v>
      </c>
      <c r="F53" s="127"/>
      <c r="G53" s="128">
        <f>IFERROR(($F53/$E53)-1,0)</f>
        <v>0</v>
      </c>
      <c r="H53" s="128">
        <f t="shared" si="27" ref="H53:H56">IFERROR(($F53/$D53)-1,0)</f>
        <v>0</v>
      </c>
      <c r="I53" s="124"/>
      <c r="J53" s="124"/>
      <c r="K53" s="124"/>
      <c r="L53" s="129">
        <f t="shared" si="28" ref="L53:L56">IFERROR((($E53*$I53)+($E53*$J53*0.8)+($E53*$K53*0.9)),0)</f>
        <v>0</v>
      </c>
      <c r="M53" s="129">
        <f t="shared" si="29" ref="M53:M56">IFERROR((($F53*$I53)+($F53*$J53*0.8)+($F53*$K53*0.9)),0)</f>
        <v>0</v>
      </c>
      <c r="N53" s="129">
        <f>IFERROR($M53-$L53,0)</f>
        <v>0</v>
      </c>
    </row>
    <row r="54" spans="1:14" s="75" customFormat="1" ht="15">
      <c r="A54" s="122"/>
      <c r="B54" s="123"/>
      <c r="C54" s="126"/>
      <c r="D54" s="127"/>
      <c r="E54" s="127">
        <f>ROUND($D54*$B$9*$B$10,2)</f>
        <v>0</v>
      </c>
      <c r="F54" s="127"/>
      <c r="G54" s="128">
        <f t="shared" si="30" ref="G54:G56">IFERROR(($F54/$E54)-1,0)</f>
        <v>0</v>
      </c>
      <c r="H54" s="128">
        <f>IFERROR(($F54/$D54)-1,0)</f>
        <v>0</v>
      </c>
      <c r="I54" s="124"/>
      <c r="J54" s="124"/>
      <c r="K54" s="124"/>
      <c r="L54" s="129">
        <f>IFERROR((($E54*$I54)+($E54*$J54*0.8)+($E54*$K54*0.9)),0)</f>
        <v>0</v>
      </c>
      <c r="M54" s="129">
        <f>IFERROR((($F54*$I54)+($F54*$J54*0.8)+($F54*$K54*0.9)),0)</f>
        <v>0</v>
      </c>
      <c r="N54" s="129">
        <f>IFERROR($M54-$L54,0)</f>
        <v>0</v>
      </c>
    </row>
    <row r="55" spans="1:14" s="75" customFormat="1" ht="15">
      <c r="A55" s="122"/>
      <c r="B55" s="123"/>
      <c r="C55" s="126"/>
      <c r="D55" s="127"/>
      <c r="E55" s="127">
        <f>ROUND($D55*$B$9*$B$10,2)</f>
        <v>0</v>
      </c>
      <c r="F55" s="127"/>
      <c r="G55" s="128">
        <f>IFERROR(($F55/$E55)-1,0)</f>
        <v>0</v>
      </c>
      <c r="H55" s="128">
        <f>IFERROR(($F55/$D55)-1,0)</f>
        <v>0</v>
      </c>
      <c r="I55" s="124"/>
      <c r="J55" s="124"/>
      <c r="K55" s="124"/>
      <c r="L55" s="129">
        <f>IFERROR((($E55*$I55)+($E55*$J55*0.8)+($E55*$K55*0.9)),0)</f>
        <v>0</v>
      </c>
      <c r="M55" s="129">
        <f>IFERROR((($F55*$I55)+($F55*$J55*0.8)+($F55*$K55*0.9)),0)</f>
        <v>0</v>
      </c>
      <c r="N55" s="129">
        <f>IFERROR($M55-$L55,0)</f>
        <v>0</v>
      </c>
    </row>
    <row r="56" spans="1:14" s="75" customFormat="1" ht="15">
      <c r="A56" s="122"/>
      <c r="B56" s="123"/>
      <c r="C56" s="126"/>
      <c r="D56" s="127"/>
      <c r="E56" s="127">
        <f>ROUND($D56*$B$9*$B$10,2)</f>
        <v>0</v>
      </c>
      <c r="F56" s="127"/>
      <c r="G56" s="128">
        <f>IFERROR(($F56/$E56)-1,0)</f>
        <v>0</v>
      </c>
      <c r="H56" s="128">
        <f>IFERROR(($F56/$D56)-1,0)</f>
        <v>0</v>
      </c>
      <c r="I56" s="124"/>
      <c r="J56" s="124"/>
      <c r="K56" s="124"/>
      <c r="L56" s="129">
        <f>IFERROR((($E56*$I56)+($E56*$J56*0.8)+($E56*$K56*0.9)),0)</f>
        <v>0</v>
      </c>
      <c r="M56" s="129">
        <f>IFERROR((($F56*$I56)+($F56*$J56*0.8)+($F56*$K56*0.9)),0)</f>
        <v>0</v>
      </c>
      <c r="N56" s="129">
        <f>IFERROR($M56-$L56,0)</f>
        <v>0</v>
      </c>
    </row>
    <row r="57" spans="1:14" s="75" customFormat="1" ht="15">
      <c r="A57" s="122"/>
      <c r="B57" s="21" t="s">
        <v>54</v>
      </c>
      <c r="C57" s="21" t="s">
        <v>55</v>
      </c>
      <c r="D57" s="127"/>
      <c r="E57" s="127"/>
      <c r="F57" s="127"/>
      <c r="G57" s="128"/>
      <c r="H57" s="128"/>
      <c r="I57" s="124"/>
      <c r="J57" s="124"/>
      <c r="K57" s="124"/>
      <c r="L57" s="125"/>
      <c r="M57" s="125"/>
      <c r="N57" s="125"/>
    </row>
    <row r="58" spans="1:14" s="75" customFormat="1" ht="15">
      <c r="A58" s="122" t="s">
        <v>62</v>
      </c>
      <c r="B58" s="123" t="s">
        <v>69</v>
      </c>
      <c r="C58" s="126" t="s">
        <v>55</v>
      </c>
      <c r="D58" s="127">
        <v>30</v>
      </c>
      <c r="E58" s="127">
        <f>ROUND($D58*$B$9*$B$10,2)</f>
        <v>16.79</v>
      </c>
      <c r="F58" s="127">
        <v>16.79</v>
      </c>
      <c r="G58" s="128">
        <f>IFERROR(($F58/$E58)-1,0)</f>
        <v>0</v>
      </c>
      <c r="H58" s="128">
        <f>IFERROR(($F58/$D58)-1,0)</f>
        <v>-0.44033333333333335</v>
      </c>
      <c r="I58" s="124">
        <v>100</v>
      </c>
      <c r="J58" s="124">
        <v>10</v>
      </c>
      <c r="K58" s="124">
        <v>5</v>
      </c>
      <c r="L58" s="129">
        <f>IFERROR((($E58*$I58)+($E58*$J58*0.8)+($E58*$K58*0.9)),0)</f>
        <v>1888.875</v>
      </c>
      <c r="M58" s="129">
        <f>IFERROR((($F58*$I58)+($F58*$J58*0.8)+($F58*$K58*0.9)),0)</f>
        <v>1888.875</v>
      </c>
      <c r="N58" s="129">
        <f>IFERROR($M58-$L58,0)</f>
        <v>0</v>
      </c>
    </row>
    <row r="59" spans="1:14" s="75" customFormat="1" ht="15">
      <c r="A59" s="122"/>
      <c r="B59" s="123"/>
      <c r="C59" s="126"/>
      <c r="D59" s="127"/>
      <c r="E59" s="127">
        <f t="shared" si="31" ref="E59:E62">ROUND($D59*$B$9*$B$10,2)</f>
        <v>0</v>
      </c>
      <c r="F59" s="127"/>
      <c r="G59" s="128">
        <f>IFERROR(($F59/$E59)-1,0)</f>
        <v>0</v>
      </c>
      <c r="H59" s="128">
        <f t="shared" si="32" ref="H59:H62">IFERROR(($F59/$D59)-1,0)</f>
        <v>0</v>
      </c>
      <c r="I59" s="124"/>
      <c r="J59" s="124"/>
      <c r="K59" s="124"/>
      <c r="L59" s="129">
        <f t="shared" si="33" ref="L59:L62">IFERROR((($E59*$I59)+($E59*$J59*0.8)+($E59*$K59*0.9)),0)</f>
        <v>0</v>
      </c>
      <c r="M59" s="129">
        <f t="shared" si="34" ref="M59:M62">IFERROR((($F59*$I59)+($F59*$J59*0.8)+($F59*$K59*0.9)),0)</f>
        <v>0</v>
      </c>
      <c r="N59" s="129">
        <f>IFERROR($M59-$L59,0)</f>
        <v>0</v>
      </c>
    </row>
    <row r="60" spans="1:14" s="75" customFormat="1" ht="15">
      <c r="A60" s="122"/>
      <c r="B60" s="123"/>
      <c r="C60" s="126"/>
      <c r="D60" s="127"/>
      <c r="E60" s="127">
        <f>ROUND($D60*$B$9*$B$10,2)</f>
        <v>0</v>
      </c>
      <c r="F60" s="127"/>
      <c r="G60" s="128">
        <f t="shared" si="35" ref="G60:G62">IFERROR(($F60/$E60)-1,0)</f>
        <v>0</v>
      </c>
      <c r="H60" s="128">
        <f>IFERROR(($F60/$D60)-1,0)</f>
        <v>0</v>
      </c>
      <c r="I60" s="124"/>
      <c r="J60" s="124"/>
      <c r="K60" s="124"/>
      <c r="L60" s="129">
        <f>IFERROR((($E60*$I60)+($E60*$J60*0.8)+($E60*$K60*0.9)),0)</f>
        <v>0</v>
      </c>
      <c r="M60" s="129">
        <f>IFERROR((($F60*$I60)+($F60*$J60*0.8)+($F60*$K60*0.9)),0)</f>
        <v>0</v>
      </c>
      <c r="N60" s="129">
        <f>IFERROR($M60-$L60,0)</f>
        <v>0</v>
      </c>
    </row>
    <row r="61" spans="1:14" s="75" customFormat="1" ht="15">
      <c r="A61" s="122"/>
      <c r="B61" s="123"/>
      <c r="C61" s="126"/>
      <c r="D61" s="127"/>
      <c r="E61" s="127">
        <f>ROUND($D61*$B$9*$B$10,2)</f>
        <v>0</v>
      </c>
      <c r="F61" s="127"/>
      <c r="G61" s="128">
        <f>IFERROR(($F61/$E61)-1,0)</f>
        <v>0</v>
      </c>
      <c r="H61" s="128">
        <f>IFERROR(($F61/$D61)-1,0)</f>
        <v>0</v>
      </c>
      <c r="I61" s="124"/>
      <c r="J61" s="124"/>
      <c r="K61" s="124"/>
      <c r="L61" s="129">
        <f>IFERROR((($E61*$I61)+($E61*$J61*0.8)+($E61*$K61*0.9)),0)</f>
        <v>0</v>
      </c>
      <c r="M61" s="129">
        <f>IFERROR((($F61*$I61)+($F61*$J61*0.8)+($F61*$K61*0.9)),0)</f>
        <v>0</v>
      </c>
      <c r="N61" s="129">
        <f>IFERROR($M61-$L61,0)</f>
        <v>0</v>
      </c>
    </row>
    <row r="62" spans="1:14" s="75" customFormat="1" ht="15">
      <c r="A62" s="122"/>
      <c r="B62" s="123"/>
      <c r="C62" s="126"/>
      <c r="D62" s="127"/>
      <c r="E62" s="127">
        <f>ROUND($D62*$B$9*$B$10,2)</f>
        <v>0</v>
      </c>
      <c r="F62" s="127"/>
      <c r="G62" s="128">
        <f>IFERROR(($F62/$E62)-1,0)</f>
        <v>0</v>
      </c>
      <c r="H62" s="128">
        <f>IFERROR(($F62/$D62)-1,0)</f>
        <v>0</v>
      </c>
      <c r="I62" s="124"/>
      <c r="J62" s="124"/>
      <c r="K62" s="124"/>
      <c r="L62" s="129">
        <f>IFERROR((($E62*$I62)+($E62*$J62*0.8)+($E62*$K62*0.9)),0)</f>
        <v>0</v>
      </c>
      <c r="M62" s="129">
        <f>IFERROR((($F62*$I62)+($F62*$J62*0.8)+($F62*$K62*0.9)),0)</f>
        <v>0</v>
      </c>
      <c r="N62" s="129">
        <f>IFERROR($M62-$L62,0)</f>
        <v>0</v>
      </c>
    </row>
    <row r="63" spans="1:14" s="75" customFormat="1" ht="15">
      <c r="A63" s="122"/>
      <c r="B63" s="21" t="s">
        <v>57</v>
      </c>
      <c r="C63" s="21" t="s">
        <v>58</v>
      </c>
      <c r="D63" s="127"/>
      <c r="E63" s="127"/>
      <c r="F63" s="127"/>
      <c r="G63" s="128"/>
      <c r="H63" s="128"/>
      <c r="I63" s="124"/>
      <c r="J63" s="124"/>
      <c r="K63" s="124"/>
      <c r="L63" s="125"/>
      <c r="M63" s="125"/>
      <c r="N63" s="125"/>
    </row>
    <row r="64" spans="1:14" s="75" customFormat="1" ht="15">
      <c r="A64" s="122" t="s">
        <v>62</v>
      </c>
      <c r="B64" s="123" t="s">
        <v>70</v>
      </c>
      <c r="C64" s="126" t="s">
        <v>58</v>
      </c>
      <c r="D64" s="127">
        <v>35</v>
      </c>
      <c r="E64" s="127">
        <f>ROUND($D64*$B$9*$B$10,2)</f>
        <v>19.59</v>
      </c>
      <c r="F64" s="127">
        <v>19.59</v>
      </c>
      <c r="G64" s="128">
        <f>IFERROR(($F64/$E64)-1,0)</f>
        <v>0</v>
      </c>
      <c r="H64" s="128">
        <f>IFERROR(($F64/$D64)-1,0)</f>
        <v>-0.4402857142857143</v>
      </c>
      <c r="I64" s="124">
        <v>100</v>
      </c>
      <c r="J64" s="124">
        <v>10</v>
      </c>
      <c r="K64" s="124">
        <v>5</v>
      </c>
      <c r="L64" s="129">
        <f>IFERROR((($E64*$I64)+($E64*$J64*0.8)+($E64*$K64*0.9)),0)</f>
        <v>2203.8750000000005</v>
      </c>
      <c r="M64" s="129">
        <f>IFERROR((($F64*$I64)+($F64*$J64*0.8)+($F64*$K64*0.9)),0)</f>
        <v>2203.8750000000005</v>
      </c>
      <c r="N64" s="129">
        <f>IFERROR($M64-$L64,0)</f>
        <v>0</v>
      </c>
    </row>
    <row r="65" spans="1:14" s="75" customFormat="1" ht="15">
      <c r="A65" s="122"/>
      <c r="B65" s="123"/>
      <c r="C65" s="126"/>
      <c r="D65" s="127"/>
      <c r="E65" s="127">
        <f t="shared" si="36" ref="E65:E68">ROUND($D65*$B$9*$B$10,2)</f>
        <v>0</v>
      </c>
      <c r="F65" s="127"/>
      <c r="G65" s="128">
        <f>IFERROR(($F65/$E65)-1,0)</f>
        <v>0</v>
      </c>
      <c r="H65" s="128">
        <f t="shared" si="37" ref="H65:H68">IFERROR(($F65/$D65)-1,0)</f>
        <v>0</v>
      </c>
      <c r="I65" s="124"/>
      <c r="J65" s="124"/>
      <c r="K65" s="124"/>
      <c r="L65" s="129">
        <f t="shared" si="38" ref="L65:L68">IFERROR((($E65*$I65)+($E65*$J65*0.8)+($E65*$K65*0.9)),0)</f>
        <v>0</v>
      </c>
      <c r="M65" s="129">
        <f t="shared" si="39" ref="M65:M68">IFERROR((($F65*$I65)+($F65*$J65*0.8)+($F65*$K65*0.9)),0)</f>
        <v>0</v>
      </c>
      <c r="N65" s="129">
        <f>IFERROR($M65-$L65,0)</f>
        <v>0</v>
      </c>
    </row>
    <row r="66" spans="1:14" s="75" customFormat="1" ht="15">
      <c r="A66" s="122"/>
      <c r="B66" s="123"/>
      <c r="C66" s="126"/>
      <c r="D66" s="127"/>
      <c r="E66" s="127">
        <f>ROUND($D66*$B$9*$B$10,2)</f>
        <v>0</v>
      </c>
      <c r="F66" s="127"/>
      <c r="G66" s="128">
        <f t="shared" si="40" ref="G66:G68">IFERROR(($F66/$E66)-1,0)</f>
        <v>0</v>
      </c>
      <c r="H66" s="128">
        <f>IFERROR(($F66/$D66)-1,0)</f>
        <v>0</v>
      </c>
      <c r="I66" s="124"/>
      <c r="J66" s="124"/>
      <c r="K66" s="124"/>
      <c r="L66" s="129">
        <f>IFERROR((($E66*$I66)+($E66*$J66*0.8)+($E66*$K66*0.9)),0)</f>
        <v>0</v>
      </c>
      <c r="M66" s="129">
        <f>IFERROR((($F66*$I66)+($F66*$J66*0.8)+($F66*$K66*0.9)),0)</f>
        <v>0</v>
      </c>
      <c r="N66" s="129">
        <f>IFERROR($M66-$L66,0)</f>
        <v>0</v>
      </c>
    </row>
    <row r="67" spans="1:14" s="75" customFormat="1" ht="15">
      <c r="A67" s="122"/>
      <c r="B67" s="123"/>
      <c r="C67" s="126"/>
      <c r="D67" s="127"/>
      <c r="E67" s="127">
        <f>ROUND($D67*$B$9*$B$10,2)</f>
        <v>0</v>
      </c>
      <c r="F67" s="127"/>
      <c r="G67" s="128">
        <f>IFERROR(($F67/$E67)-1,0)</f>
        <v>0</v>
      </c>
      <c r="H67" s="128">
        <f>IFERROR(($F67/$D67)-1,0)</f>
        <v>0</v>
      </c>
      <c r="I67" s="124"/>
      <c r="J67" s="124"/>
      <c r="K67" s="124"/>
      <c r="L67" s="129">
        <f>IFERROR((($E67*$I67)+($E67*$J67*0.8)+($E67*$K67*0.9)),0)</f>
        <v>0</v>
      </c>
      <c r="M67" s="129">
        <f>IFERROR((($F67*$I67)+($F67*$J67*0.8)+($F67*$K67*0.9)),0)</f>
        <v>0</v>
      </c>
      <c r="N67" s="129">
        <f>IFERROR($M67-$L67,0)</f>
        <v>0</v>
      </c>
    </row>
    <row r="68" spans="1:14" s="75" customFormat="1" ht="15">
      <c r="A68" s="122"/>
      <c r="B68" s="123"/>
      <c r="C68" s="126"/>
      <c r="D68" s="127"/>
      <c r="E68" s="127">
        <f>ROUND($D68*$B$9*$B$10,2)</f>
        <v>0</v>
      </c>
      <c r="F68" s="127"/>
      <c r="G68" s="128">
        <f>IFERROR(($F68/$E68)-1,0)</f>
        <v>0</v>
      </c>
      <c r="H68" s="128">
        <f>IFERROR(($F68/$D68)-1,0)</f>
        <v>0</v>
      </c>
      <c r="I68" s="124"/>
      <c r="J68" s="124"/>
      <c r="K68" s="124"/>
      <c r="L68" s="129">
        <f>IFERROR((($E68*$I68)+($E68*$J68*0.8)+($E68*$K68*0.9)),0)</f>
        <v>0</v>
      </c>
      <c r="M68" s="129">
        <f>IFERROR((($F68*$I68)+($F68*$J68*0.8)+($F68*$K68*0.9)),0)</f>
        <v>0</v>
      </c>
      <c r="N68" s="129">
        <f>IFERROR($M68-$L68,0)</f>
        <v>0</v>
      </c>
    </row>
    <row r="69" spans="1:14" s="75" customFormat="1" ht="30">
      <c r="A69" s="122"/>
      <c r="B69" s="21" t="s">
        <v>59</v>
      </c>
      <c r="C69" s="21" t="s">
        <v>60</v>
      </c>
      <c r="D69" s="127"/>
      <c r="E69" s="127"/>
      <c r="F69" s="127"/>
      <c r="G69" s="128"/>
      <c r="H69" s="128"/>
      <c r="I69" s="124"/>
      <c r="J69" s="124"/>
      <c r="K69" s="124"/>
      <c r="L69" s="125"/>
      <c r="M69" s="125"/>
      <c r="N69" s="125"/>
    </row>
    <row r="70" spans="1:14" s="75" customFormat="1" ht="15">
      <c r="A70" s="122" t="s">
        <v>62</v>
      </c>
      <c r="B70" s="123" t="s">
        <v>71</v>
      </c>
      <c r="C70" s="126" t="s">
        <v>60</v>
      </c>
      <c r="D70" s="127">
        <v>40</v>
      </c>
      <c r="E70" s="127">
        <f>ROUND($D70*$B$9*$B$10,2)</f>
        <v>22.39</v>
      </c>
      <c r="F70" s="127">
        <v>22.39</v>
      </c>
      <c r="G70" s="128">
        <f>IFERROR(($F70/$E70)-1,0)</f>
        <v>0</v>
      </c>
      <c r="H70" s="128">
        <f>IFERROR(($F70/$D70)-1,0)</f>
        <v>-0.44025000000000003</v>
      </c>
      <c r="I70" s="124">
        <v>100</v>
      </c>
      <c r="J70" s="124">
        <v>10</v>
      </c>
      <c r="K70" s="124">
        <v>5</v>
      </c>
      <c r="L70" s="129">
        <f>IFERROR((($E70*$I70)+($E70*$J70*0.8)+($E70*$K70*0.9)),0)</f>
        <v>2518.875</v>
      </c>
      <c r="M70" s="129">
        <f>IFERROR((($F70*$I70)+($F70*$J70*0.8)+($F70*$K70*0.9)),0)</f>
        <v>2518.875</v>
      </c>
      <c r="N70" s="129">
        <f>IFERROR($M70-$L70,0)</f>
        <v>0</v>
      </c>
    </row>
    <row r="71" spans="1:14" s="75" customFormat="1" ht="15">
      <c r="A71" s="122"/>
      <c r="B71" s="123"/>
      <c r="C71" s="126"/>
      <c r="D71" s="127"/>
      <c r="E71" s="127">
        <f t="shared" si="41" ref="E71:E74">ROUND($D71*$B$9*$B$10,2)</f>
        <v>0</v>
      </c>
      <c r="F71" s="127"/>
      <c r="G71" s="128">
        <f>IFERROR(($F71/$E71)-1,0)</f>
        <v>0</v>
      </c>
      <c r="H71" s="128">
        <f t="shared" si="42" ref="H71:H74">IFERROR(($F71/$D71)-1,0)</f>
        <v>0</v>
      </c>
      <c r="I71" s="124"/>
      <c r="J71" s="124"/>
      <c r="K71" s="124"/>
      <c r="L71" s="129">
        <f t="shared" si="43" ref="L71:L74">IFERROR((($E71*$I71)+($E71*$J71*0.8)+($E71*$K71*0.9)),0)</f>
        <v>0</v>
      </c>
      <c r="M71" s="129">
        <f t="shared" si="44" ref="M71:M74">IFERROR((($F71*$I71)+($F71*$J71*0.8)+($F71*$K71*0.9)),0)</f>
        <v>0</v>
      </c>
      <c r="N71" s="129">
        <f>IFERROR($M71-$L71,0)</f>
        <v>0</v>
      </c>
    </row>
    <row r="72" spans="1:14" s="75" customFormat="1" ht="15">
      <c r="A72" s="122"/>
      <c r="B72" s="123"/>
      <c r="C72" s="126"/>
      <c r="D72" s="127"/>
      <c r="E72" s="127">
        <f>ROUND($D72*$B$9*$B$10,2)</f>
        <v>0</v>
      </c>
      <c r="F72" s="127"/>
      <c r="G72" s="128">
        <f t="shared" si="45" ref="G72:G74">IFERROR(($F72/$E72)-1,0)</f>
        <v>0</v>
      </c>
      <c r="H72" s="128">
        <f>IFERROR(($F72/$D72)-1,0)</f>
        <v>0</v>
      </c>
      <c r="I72" s="124"/>
      <c r="J72" s="124"/>
      <c r="K72" s="124"/>
      <c r="L72" s="129">
        <f>IFERROR((($E72*$I72)+($E72*$J72*0.8)+($E72*$K72*0.9)),0)</f>
        <v>0</v>
      </c>
      <c r="M72" s="129">
        <f>IFERROR((($F72*$I72)+($F72*$J72*0.8)+($F72*$K72*0.9)),0)</f>
        <v>0</v>
      </c>
      <c r="N72" s="129">
        <f>IFERROR($M72-$L72,0)</f>
        <v>0</v>
      </c>
    </row>
    <row r="73" spans="1:14" s="75" customFormat="1" ht="15">
      <c r="A73" s="122"/>
      <c r="B73" s="123"/>
      <c r="C73" s="126"/>
      <c r="D73" s="127"/>
      <c r="E73" s="127">
        <f>ROUND($D73*$B$9*$B$10,2)</f>
        <v>0</v>
      </c>
      <c r="F73" s="127"/>
      <c r="G73" s="128">
        <f>IFERROR(($F73/$E73)-1,0)</f>
        <v>0</v>
      </c>
      <c r="H73" s="128">
        <f>IFERROR(($F73/$D73)-1,0)</f>
        <v>0</v>
      </c>
      <c r="I73" s="124"/>
      <c r="J73" s="124"/>
      <c r="K73" s="124"/>
      <c r="L73" s="129">
        <f>IFERROR((($E73*$I73)+($E73*$J73*0.8)+($E73*$K73*0.9)),0)</f>
        <v>0</v>
      </c>
      <c r="M73" s="129">
        <f>IFERROR((($F73*$I73)+($F73*$J73*0.8)+($F73*$K73*0.9)),0)</f>
        <v>0</v>
      </c>
      <c r="N73" s="129">
        <f>IFERROR($M73-$L73,0)</f>
        <v>0</v>
      </c>
    </row>
    <row r="74" spans="1:14" s="75" customFormat="1" ht="15">
      <c r="A74" s="122"/>
      <c r="B74" s="123"/>
      <c r="C74" s="126"/>
      <c r="D74" s="127"/>
      <c r="E74" s="127">
        <f>ROUND($D74*$B$9*$B$10,2)</f>
        <v>0</v>
      </c>
      <c r="F74" s="127"/>
      <c r="G74" s="128">
        <f>IFERROR(($F74/$E74)-1,0)</f>
        <v>0</v>
      </c>
      <c r="H74" s="128">
        <f>IFERROR(($F74/$D74)-1,0)</f>
        <v>0</v>
      </c>
      <c r="I74" s="124"/>
      <c r="J74" s="124"/>
      <c r="K74" s="124"/>
      <c r="L74" s="129">
        <f>IFERROR((($E74*$I74)+($E74*$J74*0.8)+($E74*$K74*0.9)),0)</f>
        <v>0</v>
      </c>
      <c r="M74" s="129">
        <f>IFERROR((($F74*$I74)+($F74*$J74*0.8)+($F74*$K74*0.9)),0)</f>
        <v>0</v>
      </c>
      <c r="N74" s="129">
        <f>IFERROR($M74-$L74,0)</f>
        <v>0</v>
      </c>
    </row>
    <row r="75" spans="1:14" s="75" customFormat="1" ht="30">
      <c r="A75" s="122"/>
      <c r="B75" s="21" t="s">
        <v>78</v>
      </c>
      <c r="C75" s="21" t="s">
        <v>80</v>
      </c>
      <c r="D75" s="127"/>
      <c r="E75" s="127"/>
      <c r="F75" s="127"/>
      <c r="G75" s="128"/>
      <c r="H75" s="128"/>
      <c r="I75" s="124"/>
      <c r="J75" s="124"/>
      <c r="K75" s="124"/>
      <c r="L75" s="125"/>
      <c r="M75" s="125"/>
      <c r="N75" s="125"/>
    </row>
    <row r="76" spans="1:14" s="75" customFormat="1" ht="15">
      <c r="A76" s="122" t="s">
        <v>62</v>
      </c>
      <c r="B76" s="123" t="s">
        <v>79</v>
      </c>
      <c r="C76" s="126" t="s">
        <v>80</v>
      </c>
      <c r="D76" s="127">
        <v>40</v>
      </c>
      <c r="E76" s="127">
        <f>ROUND($D76*$B$9*$B$10,2)</f>
        <v>22.39</v>
      </c>
      <c r="F76" s="127">
        <v>22.39</v>
      </c>
      <c r="G76" s="128">
        <f>IFERROR(($F76/$E76)-1,0)</f>
        <v>0</v>
      </c>
      <c r="H76" s="128">
        <f>IFERROR(($F76/$D76)-1,0)</f>
        <v>-0.44025000000000003</v>
      </c>
      <c r="I76" s="124">
        <v>100</v>
      </c>
      <c r="J76" s="124">
        <v>10</v>
      </c>
      <c r="K76" s="124">
        <v>5</v>
      </c>
      <c r="L76" s="129">
        <f>IFERROR((($E76*$I76)+($E76*$J76*0.8)+($E76*$K76*0.9)),0)</f>
        <v>2518.875</v>
      </c>
      <c r="M76" s="129">
        <f>IFERROR((($F76*$I76)+($F76*$J76*0.8)+($F76*$K76*0.9)),0)</f>
        <v>2518.875</v>
      </c>
      <c r="N76" s="129">
        <f>IFERROR($M76-$L76,0)</f>
        <v>0</v>
      </c>
    </row>
    <row r="77" spans="1:14" s="75" customFormat="1" ht="15">
      <c r="A77" s="122"/>
      <c r="B77" s="123"/>
      <c r="C77" s="126"/>
      <c r="D77" s="127"/>
      <c r="E77" s="127">
        <f t="shared" si="46" ref="E77:E80">ROUND($D77*$B$9*$B$10,2)</f>
        <v>0</v>
      </c>
      <c r="F77" s="127"/>
      <c r="G77" s="128">
        <f>IFERROR(($F77/$E77)-1,0)</f>
        <v>0</v>
      </c>
      <c r="H77" s="128">
        <f t="shared" si="47" ref="H77:H80">IFERROR(($F77/$D77)-1,0)</f>
        <v>0</v>
      </c>
      <c r="I77" s="124"/>
      <c r="J77" s="124"/>
      <c r="K77" s="124"/>
      <c r="L77" s="129">
        <f t="shared" si="48" ref="L77:L80">IFERROR((($E77*$I77)+($E77*$J77*0.8)+($E77*$K77*0.9)),0)</f>
        <v>0</v>
      </c>
      <c r="M77" s="129">
        <f t="shared" si="49" ref="M77:M80">IFERROR((($F77*$I77)+($F77*$J77*0.8)+($F77*$K77*0.9)),0)</f>
        <v>0</v>
      </c>
      <c r="N77" s="129">
        <f>IFERROR($M77-$L77,0)</f>
        <v>0</v>
      </c>
    </row>
    <row r="78" spans="1:14" s="75" customFormat="1" ht="15">
      <c r="A78" s="122"/>
      <c r="B78" s="123"/>
      <c r="C78" s="126"/>
      <c r="D78" s="127"/>
      <c r="E78" s="127">
        <f>ROUND($D78*$B$9*$B$10,2)</f>
        <v>0</v>
      </c>
      <c r="F78" s="127"/>
      <c r="G78" s="128">
        <f t="shared" si="50" ref="G78:G80">IFERROR(($F78/$E78)-1,0)</f>
        <v>0</v>
      </c>
      <c r="H78" s="128">
        <f>IFERROR(($F78/$D78)-1,0)</f>
        <v>0</v>
      </c>
      <c r="I78" s="124"/>
      <c r="J78" s="124"/>
      <c r="K78" s="124"/>
      <c r="L78" s="129">
        <f>IFERROR((($E78*$I78)+($E78*$J78*0.8)+($E78*$K78*0.9)),0)</f>
        <v>0</v>
      </c>
      <c r="M78" s="129">
        <f>IFERROR((($F78*$I78)+($F78*$J78*0.8)+($F78*$K78*0.9)),0)</f>
        <v>0</v>
      </c>
      <c r="N78" s="129">
        <f>IFERROR($M78-$L78,0)</f>
        <v>0</v>
      </c>
    </row>
    <row r="79" spans="1:14" s="75" customFormat="1" ht="15">
      <c r="A79" s="122"/>
      <c r="B79" s="123"/>
      <c r="C79" s="126"/>
      <c r="D79" s="127"/>
      <c r="E79" s="127">
        <f>ROUND($D79*$B$9*$B$10,2)</f>
        <v>0</v>
      </c>
      <c r="F79" s="127"/>
      <c r="G79" s="128">
        <f>IFERROR(($F79/$E79)-1,0)</f>
        <v>0</v>
      </c>
      <c r="H79" s="128">
        <f>IFERROR(($F79/$D79)-1,0)</f>
        <v>0</v>
      </c>
      <c r="I79" s="124"/>
      <c r="J79" s="124"/>
      <c r="K79" s="124"/>
      <c r="L79" s="129">
        <f>IFERROR((($E79*$I79)+($E79*$J79*0.8)+($E79*$K79*0.9)),0)</f>
        <v>0</v>
      </c>
      <c r="M79" s="129">
        <f>IFERROR((($F79*$I79)+($F79*$J79*0.8)+($F79*$K79*0.9)),0)</f>
        <v>0</v>
      </c>
      <c r="N79" s="129">
        <f>IFERROR($M79-$L79,0)</f>
        <v>0</v>
      </c>
    </row>
    <row r="80" spans="1:14" s="75" customFormat="1" ht="15">
      <c r="A80" s="122"/>
      <c r="B80" s="123"/>
      <c r="C80" s="126"/>
      <c r="D80" s="127"/>
      <c r="E80" s="127">
        <f>ROUND($D80*$B$9*$B$10,2)</f>
        <v>0</v>
      </c>
      <c r="F80" s="127"/>
      <c r="G80" s="128">
        <f>IFERROR(($F80/$E80)-1,0)</f>
        <v>0</v>
      </c>
      <c r="H80" s="128">
        <f>IFERROR(($F80/$D80)-1,0)</f>
        <v>0</v>
      </c>
      <c r="I80" s="124"/>
      <c r="J80" s="124"/>
      <c r="K80" s="124"/>
      <c r="L80" s="129">
        <f>IFERROR((($E80*$I80)+($E80*$J80*0.8)+($E80*$K80*0.9)),0)</f>
        <v>0</v>
      </c>
      <c r="M80" s="129">
        <f>IFERROR((($F80*$I80)+($F80*$J80*0.8)+($F80*$K80*0.9)),0)</f>
        <v>0</v>
      </c>
      <c r="N80" s="129">
        <f>IFERROR($M80-$L80,0)</f>
        <v>0</v>
      </c>
    </row>
    <row r="81" spans="1:14" s="75" customFormat="1" ht="15">
      <c r="A81" s="232"/>
      <c r="C81" s="108"/>
      <c r="D81" s="233"/>
      <c r="E81" s="233"/>
      <c r="F81" s="233"/>
      <c r="G81" s="234"/>
      <c r="H81" s="234"/>
      <c r="I81" s="235"/>
      <c r="J81" s="235"/>
      <c r="K81" s="235"/>
      <c r="L81" s="236"/>
      <c r="M81" s="236"/>
      <c r="N81" s="236"/>
    </row>
    <row r="82" spans="1:14" s="75" customFormat="1" ht="15">
      <c r="A82" s="232"/>
      <c r="C82" s="108"/>
      <c r="D82" s="233"/>
      <c r="E82" s="233"/>
      <c r="F82" s="233"/>
      <c r="G82" s="234"/>
      <c r="H82" s="234"/>
      <c r="I82" s="235"/>
      <c r="J82" s="235"/>
      <c r="K82" s="235"/>
      <c r="L82" s="236"/>
      <c r="M82" s="236"/>
      <c r="N82" s="236"/>
    </row>
    <row r="83" spans="13:16" ht="15.75" thickBot="1">
      <c r="M83" s="100"/>
      <c r="N83" s="100"/>
      <c r="O83" s="100"/>
      <c r="P83" s="100"/>
    </row>
    <row r="84" spans="1:16" ht="14.45" customHeight="1">
      <c r="A84" s="307" t="s">
        <v>26</v>
      </c>
      <c r="B84" s="308"/>
      <c r="C84" s="308"/>
      <c r="D84" s="308"/>
      <c r="E84" s="308"/>
      <c r="F84" s="308"/>
      <c r="G84" s="308"/>
      <c r="H84" s="308"/>
      <c r="I84" s="308"/>
      <c r="J84" s="308"/>
      <c r="K84" s="308"/>
      <c r="L84" s="309"/>
      <c r="M84" s="97"/>
      <c r="N84" s="97"/>
      <c r="O84" s="97"/>
      <c r="P84" s="97"/>
    </row>
    <row r="85" spans="1:16" ht="14.45" customHeight="1" thickBot="1">
      <c r="A85" s="310"/>
      <c r="B85" s="311"/>
      <c r="C85" s="311"/>
      <c r="D85" s="311"/>
      <c r="E85" s="311"/>
      <c r="F85" s="311"/>
      <c r="G85" s="311"/>
      <c r="H85" s="311"/>
      <c r="I85" s="311"/>
      <c r="J85" s="311"/>
      <c r="K85" s="311"/>
      <c r="L85" s="312"/>
      <c r="M85" s="97"/>
      <c r="N85" s="97"/>
      <c r="O85" s="97"/>
      <c r="P85" s="97"/>
    </row>
    <row r="86" spans="1:16" s="101" customFormat="1" ht="14.45" customHeight="1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</row>
    <row r="87" spans="4:13" ht="15.75">
      <c r="D87" s="133"/>
      <c r="E87" s="133"/>
      <c r="F87" s="133"/>
      <c r="G87" s="133"/>
      <c r="H87" s="109"/>
      <c r="I87" s="134"/>
      <c r="J87" s="306" t="s">
        <v>21</v>
      </c>
      <c r="K87" s="306"/>
      <c r="L87" s="306"/>
      <c r="M87" s="111"/>
    </row>
    <row r="88" spans="1:15" ht="92.45" customHeight="1">
      <c r="A88" s="112" t="s">
        <v>29</v>
      </c>
      <c r="B88" s="112" t="s">
        <v>23</v>
      </c>
      <c r="C88" s="113" t="s">
        <v>4</v>
      </c>
      <c r="D88" s="114" t="s">
        <v>94</v>
      </c>
      <c r="E88" s="114" t="s">
        <v>95</v>
      </c>
      <c r="F88" s="114" t="s">
        <v>96</v>
      </c>
      <c r="G88" s="114" t="s">
        <v>97</v>
      </c>
      <c r="H88" s="114" t="s">
        <v>98</v>
      </c>
      <c r="I88" s="115" t="s">
        <v>107</v>
      </c>
      <c r="J88" s="117" t="s">
        <v>102</v>
      </c>
      <c r="K88" s="117" t="s">
        <v>36</v>
      </c>
      <c r="L88" s="114" t="s">
        <v>108</v>
      </c>
      <c r="M88" s="78"/>
      <c r="N88" s="78"/>
      <c r="O88" s="78"/>
    </row>
    <row r="89" spans="1:15" ht="15">
      <c r="A89" s="135"/>
      <c r="B89" s="136"/>
      <c r="C89" s="137" t="str">
        <f>"Col "&amp;COLUMN(C89)+36</f>
        <v>Col 39</v>
      </c>
      <c r="D89" s="137" t="str">
        <f t="shared" si="51" ref="D89:L89">"Col "&amp;COLUMN(D89)+36</f>
        <v>Col 40</v>
      </c>
      <c r="E89" s="137" t="str">
        <f>"Col "&amp;COLUMN(E89)+36</f>
        <v>Col 41</v>
      </c>
      <c r="F89" s="137" t="str">
        <f>"Col "&amp;COLUMN(F89)+36</f>
        <v>Col 42</v>
      </c>
      <c r="G89" s="137" t="str">
        <f>"Col "&amp;COLUMN(G89)+36</f>
        <v>Col 43</v>
      </c>
      <c r="H89" s="137" t="str">
        <f>"Col "&amp;COLUMN(H89)+36</f>
        <v>Col 44</v>
      </c>
      <c r="I89" s="137" t="str">
        <f>"Col "&amp;COLUMN(I89)+36</f>
        <v>Col 45</v>
      </c>
      <c r="J89" s="137" t="str">
        <f>"Col "&amp;COLUMN(J89)+36</f>
        <v>Col 46</v>
      </c>
      <c r="K89" s="137" t="str">
        <f>"Col "&amp;COLUMN(K89)+36</f>
        <v>Col 47</v>
      </c>
      <c r="L89" s="137" t="str">
        <f>"Col "&amp;COLUMN(L89)+36</f>
        <v>Col 48</v>
      </c>
      <c r="M89" s="78"/>
      <c r="N89" s="78"/>
      <c r="O89" s="78"/>
    </row>
    <row r="90" spans="1:15" ht="120">
      <c r="A90" s="112" t="s">
        <v>6</v>
      </c>
      <c r="B90" s="112" t="s">
        <v>6</v>
      </c>
      <c r="C90" s="138" t="s">
        <v>6</v>
      </c>
      <c r="D90" s="114" t="s">
        <v>6</v>
      </c>
      <c r="E90" s="114" t="str">
        <f>D89&amp;" X Category Relationship Unfreeze Factor X Net Contributor or Net Recipient Factor"</f>
        <v>Col 40 X Category Relationship Unfreeze Factor X Net Contributor or Net Recipient Factor</v>
      </c>
      <c r="F90" s="114" t="s">
        <v>6</v>
      </c>
      <c r="G90" s="114" t="str">
        <f>"("&amp;F89&amp;" / "&amp;E89&amp;") - 1"</f>
        <v>(Col 42 / Col 41) - 1</v>
      </c>
      <c r="H90" s="114" t="str">
        <f>"("&amp;F89&amp;" / "&amp;D89&amp;") - 1"</f>
        <v>(Col 42 / Col 40) - 1</v>
      </c>
      <c r="I90" s="114" t="s">
        <v>6</v>
      </c>
      <c r="J90" s="139" t="str">
        <f>E89&amp;" X "&amp;I89</f>
        <v>Col 41 X Col 45</v>
      </c>
      <c r="K90" s="139" t="str">
        <f>F89&amp;" X "&amp;I89</f>
        <v>Col 42 X Col 45</v>
      </c>
      <c r="L90" s="140" t="str">
        <f>K89&amp;" - "&amp;J89</f>
        <v>Col 47 - Col 46</v>
      </c>
      <c r="M90" s="75"/>
      <c r="N90" s="75"/>
      <c r="O90" s="75"/>
    </row>
    <row r="91" spans="1:15" ht="15">
      <c r="A91" s="122"/>
      <c r="B91" s="21" t="s">
        <v>48</v>
      </c>
      <c r="C91" s="21" t="s">
        <v>42</v>
      </c>
      <c r="D91" s="141"/>
      <c r="E91" s="141"/>
      <c r="F91" s="141"/>
      <c r="G91" s="141"/>
      <c r="H91" s="141"/>
      <c r="I91" s="142"/>
      <c r="J91" s="143"/>
      <c r="K91" s="143"/>
      <c r="L91" s="143"/>
      <c r="M91" s="77"/>
      <c r="N91" s="77"/>
      <c r="O91" s="77"/>
    </row>
    <row r="92" spans="1:12" s="101" customFormat="1" ht="15">
      <c r="A92" s="122" t="s">
        <v>62</v>
      </c>
      <c r="B92" s="123" t="s">
        <v>63</v>
      </c>
      <c r="C92" s="126" t="s">
        <v>42</v>
      </c>
      <c r="D92" s="127">
        <v>300</v>
      </c>
      <c r="E92" s="127">
        <f>ROUND($D92*$B$9*$B$10,2)</f>
        <v>167.91</v>
      </c>
      <c r="F92" s="127">
        <v>167.91</v>
      </c>
      <c r="G92" s="144">
        <f>IFERROR(($F92/$E92)-1,0)</f>
        <v>0</v>
      </c>
      <c r="H92" s="144">
        <f>IFERROR((F92/D92)-1,0)</f>
        <v>-0.4403</v>
      </c>
      <c r="I92" s="145">
        <v>100</v>
      </c>
      <c r="J92" s="146">
        <f>IFERROR($E92*$I92,0)</f>
        <v>16791</v>
      </c>
      <c r="K92" s="146">
        <f>IFERROR($F92*$I92,0)</f>
        <v>16791</v>
      </c>
      <c r="L92" s="146">
        <f>IFERROR(K92-J92,0)</f>
        <v>0</v>
      </c>
    </row>
    <row r="93" spans="1:12" s="101" customFormat="1" ht="15">
      <c r="A93" s="122"/>
      <c r="B93" s="123"/>
      <c r="C93" s="126"/>
      <c r="D93" s="147"/>
      <c r="E93" s="127">
        <f t="shared" si="52" ref="E93:E96">ROUND($D93*$B$9*$B$10,2)</f>
        <v>0</v>
      </c>
      <c r="F93" s="147"/>
      <c r="G93" s="144">
        <f t="shared" si="53" ref="G93:G96">IFERROR(($F93/$E93)-1,0)</f>
        <v>0</v>
      </c>
      <c r="H93" s="144">
        <f t="shared" si="54" ref="H93:H96">IFERROR((F93/D93)-1,0)</f>
        <v>0</v>
      </c>
      <c r="I93" s="145"/>
      <c r="J93" s="146">
        <f t="shared" si="55" ref="J93:J96">IFERROR($E93*$I93,0)</f>
        <v>0</v>
      </c>
      <c r="K93" s="146">
        <f t="shared" si="56" ref="K93:K96">IFERROR($F93*$I93,0)</f>
        <v>0</v>
      </c>
      <c r="L93" s="146">
        <f t="shared" si="57" ref="L93:L96">IFERROR(K93-J93,0)</f>
        <v>0</v>
      </c>
    </row>
    <row r="94" spans="1:12" s="101" customFormat="1" ht="15">
      <c r="A94" s="122"/>
      <c r="B94" s="123"/>
      <c r="C94" s="126"/>
      <c r="D94" s="148"/>
      <c r="E94" s="127">
        <f>ROUND($D94*$B$9*$B$10,2)</f>
        <v>0</v>
      </c>
      <c r="F94" s="148"/>
      <c r="G94" s="144">
        <f>IFERROR(($F94/$E94)-1,0)</f>
        <v>0</v>
      </c>
      <c r="H94" s="144">
        <f>IFERROR((F94/D94)-1,0)</f>
        <v>0</v>
      </c>
      <c r="I94" s="145"/>
      <c r="J94" s="146">
        <f>IFERROR($E94*$I94,0)</f>
        <v>0</v>
      </c>
      <c r="K94" s="146">
        <f>IFERROR($F94*$I94,0)</f>
        <v>0</v>
      </c>
      <c r="L94" s="146">
        <f>IFERROR(K94-J94,0)</f>
        <v>0</v>
      </c>
    </row>
    <row r="95" spans="1:12" s="101" customFormat="1" ht="15">
      <c r="A95" s="122"/>
      <c r="B95" s="123"/>
      <c r="C95" s="126"/>
      <c r="D95" s="147"/>
      <c r="E95" s="127">
        <f>ROUND($D95*$B$9*$B$10,2)</f>
        <v>0</v>
      </c>
      <c r="F95" s="147"/>
      <c r="G95" s="144">
        <f>IFERROR(($F95/$E95)-1,0)</f>
        <v>0</v>
      </c>
      <c r="H95" s="144">
        <f>IFERROR((F95/D95)-1,0)</f>
        <v>0</v>
      </c>
      <c r="I95" s="145"/>
      <c r="J95" s="146">
        <f>IFERROR($E95*$I95,0)</f>
        <v>0</v>
      </c>
      <c r="K95" s="146">
        <f>IFERROR($F95*$I95,0)</f>
        <v>0</v>
      </c>
      <c r="L95" s="146">
        <f>IFERROR(K95-J95,0)</f>
        <v>0</v>
      </c>
    </row>
    <row r="96" spans="1:15" ht="15">
      <c r="A96" s="122"/>
      <c r="B96" s="123"/>
      <c r="C96" s="126"/>
      <c r="D96" s="147"/>
      <c r="E96" s="127">
        <f>ROUND($D96*$B$9*$B$10,2)</f>
        <v>0</v>
      </c>
      <c r="F96" s="147"/>
      <c r="G96" s="144">
        <f>IFERROR(($F96/$E96)-1,0)</f>
        <v>0</v>
      </c>
      <c r="H96" s="144">
        <f>IFERROR((F96/D96)-1,0)</f>
        <v>0</v>
      </c>
      <c r="I96" s="149"/>
      <c r="J96" s="146">
        <f>IFERROR($E96*$I96,0)</f>
        <v>0</v>
      </c>
      <c r="K96" s="146">
        <f>IFERROR($F96*$I96,0)</f>
        <v>0</v>
      </c>
      <c r="L96" s="146">
        <f>IFERROR(K96-J96,0)</f>
        <v>0</v>
      </c>
      <c r="M96" s="131"/>
      <c r="N96" s="131"/>
      <c r="O96" s="131"/>
    </row>
    <row r="97" spans="1:13" ht="15">
      <c r="A97" s="122"/>
      <c r="B97" s="21" t="s">
        <v>47</v>
      </c>
      <c r="C97" s="21" t="s">
        <v>43</v>
      </c>
      <c r="D97" s="147"/>
      <c r="E97" s="147"/>
      <c r="F97" s="147"/>
      <c r="G97" s="147"/>
      <c r="H97" s="147"/>
      <c r="I97" s="149"/>
      <c r="J97" s="149"/>
      <c r="K97" s="150"/>
      <c r="L97" s="151"/>
      <c r="M97" s="40"/>
    </row>
    <row r="98" spans="1:13" ht="15">
      <c r="A98" s="122" t="s">
        <v>62</v>
      </c>
      <c r="B98" s="123" t="s">
        <v>64</v>
      </c>
      <c r="C98" s="126" t="s">
        <v>43</v>
      </c>
      <c r="D98" s="127">
        <v>325</v>
      </c>
      <c r="E98" s="127">
        <f>ROUND($D98*$B$9*$B$10,2)</f>
        <v>181.90</v>
      </c>
      <c r="F98" s="127">
        <v>181.90</v>
      </c>
      <c r="G98" s="144">
        <f>IFERROR(($F98/$E98)-1,0)</f>
        <v>0</v>
      </c>
      <c r="H98" s="144">
        <f>IFERROR((F98/D98)-1,0)</f>
        <v>-0.4403076923076923</v>
      </c>
      <c r="I98" s="145">
        <v>90</v>
      </c>
      <c r="J98" s="146">
        <f>IFERROR($E98*$I98,0)</f>
        <v>16371</v>
      </c>
      <c r="K98" s="146">
        <f>IFERROR($F98*$I98,0)</f>
        <v>16371</v>
      </c>
      <c r="L98" s="146">
        <f>IFERROR(K98-J98,0)</f>
        <v>0</v>
      </c>
      <c r="M98" s="40"/>
    </row>
    <row r="99" spans="1:13" ht="15">
      <c r="A99" s="122"/>
      <c r="B99" s="123"/>
      <c r="C99" s="126"/>
      <c r="D99" s="147"/>
      <c r="E99" s="127">
        <f t="shared" si="58" ref="E99:E102">ROUND($D99*$B$9*$B$10,2)</f>
        <v>0</v>
      </c>
      <c r="F99" s="147"/>
      <c r="G99" s="144">
        <f>IFERROR(($F99/$E99)-1,0)</f>
        <v>0</v>
      </c>
      <c r="H99" s="144">
        <f t="shared" si="59" ref="H99:H102">IFERROR((F99/D99)-1,0)</f>
        <v>0</v>
      </c>
      <c r="I99" s="145"/>
      <c r="J99" s="146">
        <f>IFERROR($E99*$I99,0)</f>
        <v>0</v>
      </c>
      <c r="K99" s="146">
        <f>IFERROR($F99*$I99,0)</f>
        <v>0</v>
      </c>
      <c r="L99" s="146">
        <f t="shared" si="60" ref="L99:L102">IFERROR(K99-J99,0)</f>
        <v>0</v>
      </c>
      <c r="M99" s="40"/>
    </row>
    <row r="100" spans="1:13" ht="15">
      <c r="A100" s="122"/>
      <c r="B100" s="123"/>
      <c r="C100" s="126"/>
      <c r="D100" s="148"/>
      <c r="E100" s="127">
        <f>ROUND($D100*$B$9*$B$10,2)</f>
        <v>0</v>
      </c>
      <c r="F100" s="148"/>
      <c r="G100" s="144">
        <f>IFERROR(($F100/$E100)-1,0)</f>
        <v>0</v>
      </c>
      <c r="H100" s="144">
        <f>IFERROR((F100/D100)-1,0)</f>
        <v>0</v>
      </c>
      <c r="I100" s="145"/>
      <c r="J100" s="146">
        <f>IFERROR($E100*$I100,0)</f>
        <v>0</v>
      </c>
      <c r="K100" s="146">
        <f>IFERROR($F100*$I100,0)</f>
        <v>0</v>
      </c>
      <c r="L100" s="146">
        <f>IFERROR(K100-J100,0)</f>
        <v>0</v>
      </c>
      <c r="M100" s="40"/>
    </row>
    <row r="101" spans="1:12" ht="15">
      <c r="A101" s="122"/>
      <c r="B101" s="123"/>
      <c r="C101" s="126"/>
      <c r="D101" s="147"/>
      <c r="E101" s="127">
        <f>ROUND($D101*$B$9*$B$10,2)</f>
        <v>0</v>
      </c>
      <c r="F101" s="147"/>
      <c r="G101" s="144">
        <f>IFERROR(($F101/$E101)-1,0)</f>
        <v>0</v>
      </c>
      <c r="H101" s="144">
        <f>IFERROR((F101/D101)-1,0)</f>
        <v>0</v>
      </c>
      <c r="I101" s="145"/>
      <c r="J101" s="146">
        <f>IFERROR($E101*$I101,0)</f>
        <v>0</v>
      </c>
      <c r="K101" s="146">
        <f>IFERROR($F101*$I101,0)</f>
        <v>0</v>
      </c>
      <c r="L101" s="146">
        <f>IFERROR(K101-J101,0)</f>
        <v>0</v>
      </c>
    </row>
    <row r="102" spans="1:12" ht="15">
      <c r="A102" s="122"/>
      <c r="B102" s="123"/>
      <c r="C102" s="126"/>
      <c r="D102" s="147"/>
      <c r="E102" s="127">
        <f>ROUND($D102*$B$9*$B$10,2)</f>
        <v>0</v>
      </c>
      <c r="F102" s="147"/>
      <c r="G102" s="144">
        <f>IFERROR(($F102/$E102)-1,0)</f>
        <v>0</v>
      </c>
      <c r="H102" s="144">
        <f>IFERROR((F102/D102)-1,0)</f>
        <v>0</v>
      </c>
      <c r="I102" s="149"/>
      <c r="J102" s="146">
        <f>IFERROR($E102*$I102,0)</f>
        <v>0</v>
      </c>
      <c r="K102" s="146">
        <f>IFERROR($F102*$I102,0)</f>
        <v>0</v>
      </c>
      <c r="L102" s="146">
        <f>IFERROR(K102-J102,0)</f>
        <v>0</v>
      </c>
    </row>
    <row r="103" spans="1:12" ht="15">
      <c r="A103" s="122"/>
      <c r="B103" s="21" t="s">
        <v>46</v>
      </c>
      <c r="C103" s="21" t="s">
        <v>44</v>
      </c>
      <c r="D103" s="147"/>
      <c r="E103" s="147"/>
      <c r="F103" s="147"/>
      <c r="G103" s="147"/>
      <c r="H103" s="147"/>
      <c r="I103" s="149"/>
      <c r="J103" s="149"/>
      <c r="K103" s="150"/>
      <c r="L103" s="151"/>
    </row>
    <row r="104" spans="1:12" ht="15">
      <c r="A104" s="122" t="s">
        <v>62</v>
      </c>
      <c r="B104" s="123" t="s">
        <v>65</v>
      </c>
      <c r="C104" s="126" t="s">
        <v>44</v>
      </c>
      <c r="D104" s="127">
        <v>350</v>
      </c>
      <c r="E104" s="127">
        <f>ROUND($D104*$B$9*$B$10,2)</f>
        <v>195.90</v>
      </c>
      <c r="F104" s="127">
        <v>195.90</v>
      </c>
      <c r="G104" s="144">
        <f>IFERROR(($F104/$E104)-1,0)</f>
        <v>0</v>
      </c>
      <c r="H104" s="144">
        <f>IFERROR((F104/D104)-1,0)</f>
        <v>-0.4402857142857143</v>
      </c>
      <c r="I104" s="145">
        <v>80</v>
      </c>
      <c r="J104" s="146">
        <f>IFERROR($E104*$I104,0)</f>
        <v>15672</v>
      </c>
      <c r="K104" s="146">
        <f>IFERROR($F104*$I104,0)</f>
        <v>15672</v>
      </c>
      <c r="L104" s="146">
        <f>IFERROR(K104-J104,0)</f>
        <v>0</v>
      </c>
    </row>
    <row r="105" spans="1:12" ht="15">
      <c r="A105" s="122"/>
      <c r="B105" s="123"/>
      <c r="C105" s="126"/>
      <c r="D105" s="147"/>
      <c r="E105" s="127">
        <f t="shared" si="61" ref="E105:E108">ROUND($D105*$B$9*$B$10,2)</f>
        <v>0</v>
      </c>
      <c r="F105" s="147"/>
      <c r="G105" s="144">
        <f>IFERROR(($F105/$E105)-1,0)</f>
        <v>0</v>
      </c>
      <c r="H105" s="144">
        <f t="shared" si="62" ref="H105:H108">IFERROR((F105/D105)-1,0)</f>
        <v>0</v>
      </c>
      <c r="I105" s="145"/>
      <c r="J105" s="146">
        <f>IFERROR($E105*$I105,0)</f>
        <v>0</v>
      </c>
      <c r="K105" s="146">
        <f>IFERROR($F105*$I105,0)</f>
        <v>0</v>
      </c>
      <c r="L105" s="146">
        <f t="shared" si="63" ref="L105:L108">IFERROR(K105-J105,0)</f>
        <v>0</v>
      </c>
    </row>
    <row r="106" spans="1:12" ht="15">
      <c r="A106" s="122"/>
      <c r="B106" s="123"/>
      <c r="C106" s="126"/>
      <c r="D106" s="148"/>
      <c r="E106" s="127">
        <f>ROUND($D106*$B$9*$B$10,2)</f>
        <v>0</v>
      </c>
      <c r="F106" s="148"/>
      <c r="G106" s="144">
        <f>IFERROR(($F106/$E106)-1,0)</f>
        <v>0</v>
      </c>
      <c r="H106" s="144">
        <f>IFERROR((F106/D106)-1,0)</f>
        <v>0</v>
      </c>
      <c r="I106" s="145"/>
      <c r="J106" s="146">
        <f>IFERROR($E106*$I106,0)</f>
        <v>0</v>
      </c>
      <c r="K106" s="146">
        <f>IFERROR($F106*$I106,0)</f>
        <v>0</v>
      </c>
      <c r="L106" s="146">
        <f>IFERROR(K106-J106,0)</f>
        <v>0</v>
      </c>
    </row>
    <row r="107" spans="1:12" ht="15">
      <c r="A107" s="122"/>
      <c r="B107" s="123"/>
      <c r="C107" s="126"/>
      <c r="D107" s="147"/>
      <c r="E107" s="127">
        <f>ROUND($D107*$B$9*$B$10,2)</f>
        <v>0</v>
      </c>
      <c r="F107" s="147"/>
      <c r="G107" s="144">
        <f>IFERROR(($F107/$E107)-1,0)</f>
        <v>0</v>
      </c>
      <c r="H107" s="144">
        <f>IFERROR((F107/D107)-1,0)</f>
        <v>0</v>
      </c>
      <c r="I107" s="145"/>
      <c r="J107" s="146">
        <f>IFERROR($E107*$I107,0)</f>
        <v>0</v>
      </c>
      <c r="K107" s="146">
        <f>IFERROR($F107*$I107,0)</f>
        <v>0</v>
      </c>
      <c r="L107" s="146">
        <f>IFERROR(K107-J107,0)</f>
        <v>0</v>
      </c>
    </row>
    <row r="108" spans="1:12" ht="15">
      <c r="A108" s="122"/>
      <c r="B108" s="123"/>
      <c r="C108" s="126"/>
      <c r="D108" s="147"/>
      <c r="E108" s="127">
        <f>ROUND($D108*$B$9*$B$10,2)</f>
        <v>0</v>
      </c>
      <c r="F108" s="147"/>
      <c r="G108" s="144">
        <f>IFERROR(($F108/$E108)-1,0)</f>
        <v>0</v>
      </c>
      <c r="H108" s="144">
        <f>IFERROR((F108/D108)-1,0)</f>
        <v>0</v>
      </c>
      <c r="I108" s="149"/>
      <c r="J108" s="146">
        <f>IFERROR($E108*$I108,0)</f>
        <v>0</v>
      </c>
      <c r="K108" s="146">
        <f>IFERROR($F108*$I108,0)</f>
        <v>0</v>
      </c>
      <c r="L108" s="146">
        <f>IFERROR(K108-J108,0)</f>
        <v>0</v>
      </c>
    </row>
    <row r="109" spans="1:12" ht="15">
      <c r="A109" s="122"/>
      <c r="B109" s="21" t="s">
        <v>45</v>
      </c>
      <c r="C109" s="21" t="s">
        <v>61</v>
      </c>
      <c r="D109" s="147"/>
      <c r="E109" s="147"/>
      <c r="F109" s="147"/>
      <c r="G109" s="147"/>
      <c r="H109" s="147"/>
      <c r="I109" s="149"/>
      <c r="J109" s="149"/>
      <c r="K109" s="150"/>
      <c r="L109" s="151"/>
    </row>
    <row r="110" spans="1:12" ht="15">
      <c r="A110" s="122" t="s">
        <v>62</v>
      </c>
      <c r="B110" s="123" t="s">
        <v>66</v>
      </c>
      <c r="C110" s="126" t="s">
        <v>61</v>
      </c>
      <c r="D110" s="127">
        <v>375</v>
      </c>
      <c r="E110" s="127">
        <f>ROUND($D110*$B$9*$B$10,2)</f>
        <v>209.89</v>
      </c>
      <c r="F110" s="127">
        <v>209.89</v>
      </c>
      <c r="G110" s="144">
        <f>IFERROR(($F110/$E110)-1,0)</f>
        <v>0</v>
      </c>
      <c r="H110" s="144">
        <f>IFERROR((F110/D110)-1,0)</f>
        <v>-0.4402933333333333</v>
      </c>
      <c r="I110" s="145">
        <v>1</v>
      </c>
      <c r="J110" s="146">
        <f>IFERROR($E110*$I110,0)</f>
        <v>209.89</v>
      </c>
      <c r="K110" s="146">
        <f>IFERROR($F110*$I110,0)</f>
        <v>209.89</v>
      </c>
      <c r="L110" s="146">
        <f>IFERROR(K110-J110,0)</f>
        <v>0</v>
      </c>
    </row>
    <row r="111" spans="1:12" ht="15">
      <c r="A111" s="122"/>
      <c r="B111" s="123"/>
      <c r="C111" s="126"/>
      <c r="D111" s="147"/>
      <c r="E111" s="127">
        <f t="shared" si="64" ref="E111:E114">ROUND($D111*$B$9*$B$10,2)</f>
        <v>0</v>
      </c>
      <c r="F111" s="147"/>
      <c r="G111" s="144">
        <f>IFERROR(($F111/$E111)-1,0)</f>
        <v>0</v>
      </c>
      <c r="H111" s="144">
        <f t="shared" si="65" ref="H111:H114">IFERROR((F111/D111)-1,0)</f>
        <v>0</v>
      </c>
      <c r="I111" s="145"/>
      <c r="J111" s="146">
        <f>IFERROR($E111*$I111,0)</f>
        <v>0</v>
      </c>
      <c r="K111" s="146">
        <f>IFERROR($F111*$I111,0)</f>
        <v>0</v>
      </c>
      <c r="L111" s="146">
        <f t="shared" si="66" ref="L111:L114">IFERROR(K111-J111,0)</f>
        <v>0</v>
      </c>
    </row>
    <row r="112" spans="1:12" ht="15">
      <c r="A112" s="122"/>
      <c r="B112" s="123"/>
      <c r="C112" s="126"/>
      <c r="D112" s="148"/>
      <c r="E112" s="127">
        <f>ROUND($D112*$B$9*$B$10,2)</f>
        <v>0</v>
      </c>
      <c r="F112" s="148"/>
      <c r="G112" s="144">
        <f>IFERROR(($F112/$E112)-1,0)</f>
        <v>0</v>
      </c>
      <c r="H112" s="144">
        <f>IFERROR((F112/D112)-1,0)</f>
        <v>0</v>
      </c>
      <c r="I112" s="145"/>
      <c r="J112" s="146">
        <f>IFERROR($E112*$I112,0)</f>
        <v>0</v>
      </c>
      <c r="K112" s="146">
        <f>IFERROR($F112*$I112,0)</f>
        <v>0</v>
      </c>
      <c r="L112" s="146">
        <f>IFERROR(K112-J112,0)</f>
        <v>0</v>
      </c>
    </row>
    <row r="113" spans="1:12" ht="15">
      <c r="A113" s="122"/>
      <c r="B113" s="123"/>
      <c r="C113" s="126"/>
      <c r="D113" s="147"/>
      <c r="E113" s="127">
        <f>ROUND($D113*$B$9*$B$10,2)</f>
        <v>0</v>
      </c>
      <c r="F113" s="147"/>
      <c r="G113" s="144">
        <f>IFERROR(($F113/$E113)-1,0)</f>
        <v>0</v>
      </c>
      <c r="H113" s="144">
        <f>IFERROR((F113/D113)-1,0)</f>
        <v>0</v>
      </c>
      <c r="I113" s="145"/>
      <c r="J113" s="146">
        <f>IFERROR($E113*$I113,0)</f>
        <v>0</v>
      </c>
      <c r="K113" s="146">
        <f>IFERROR($F113*$I113,0)</f>
        <v>0</v>
      </c>
      <c r="L113" s="146">
        <f>IFERROR(K113-J113,0)</f>
        <v>0</v>
      </c>
    </row>
    <row r="114" spans="1:12" ht="15">
      <c r="A114" s="122"/>
      <c r="B114" s="123"/>
      <c r="C114" s="126"/>
      <c r="D114" s="147"/>
      <c r="E114" s="127">
        <f>ROUND($D114*$B$9*$B$10,2)</f>
        <v>0</v>
      </c>
      <c r="F114" s="147"/>
      <c r="G114" s="144">
        <f>IFERROR(($F114/$E114)-1,0)</f>
        <v>0</v>
      </c>
      <c r="H114" s="144">
        <f>IFERROR((F114/D114)-1,0)</f>
        <v>0</v>
      </c>
      <c r="I114" s="149"/>
      <c r="J114" s="146">
        <f>IFERROR($E114*$I114,0)</f>
        <v>0</v>
      </c>
      <c r="K114" s="146">
        <f>IFERROR($F114*$I114,0)</f>
        <v>0</v>
      </c>
      <c r="L114" s="146">
        <f>IFERROR(K114-J114,0)</f>
        <v>0</v>
      </c>
    </row>
    <row r="115" spans="1:12" ht="15">
      <c r="A115" s="122"/>
      <c r="B115" s="21" t="s">
        <v>50</v>
      </c>
      <c r="C115" s="21" t="s">
        <v>51</v>
      </c>
      <c r="D115" s="147"/>
      <c r="E115" s="147"/>
      <c r="F115" s="147"/>
      <c r="G115" s="147"/>
      <c r="H115" s="147"/>
      <c r="I115" s="149"/>
      <c r="J115" s="149"/>
      <c r="K115" s="150"/>
      <c r="L115" s="151"/>
    </row>
    <row r="116" spans="1:12" ht="30">
      <c r="A116" s="122" t="s">
        <v>62</v>
      </c>
      <c r="B116" s="123" t="s">
        <v>67</v>
      </c>
      <c r="C116" s="126" t="s">
        <v>51</v>
      </c>
      <c r="D116" s="127">
        <v>400</v>
      </c>
      <c r="E116" s="127">
        <f>ROUND($D116*$B$9*$B$10,2)</f>
        <v>223.88</v>
      </c>
      <c r="F116" s="127">
        <v>223.88</v>
      </c>
      <c r="G116" s="144">
        <f>IFERROR(($F116/$E116)-1,0)</f>
        <v>0</v>
      </c>
      <c r="H116" s="144">
        <f>IFERROR((F116/D116)-1,0)</f>
        <v>-0.4403</v>
      </c>
      <c r="I116" s="145">
        <v>70</v>
      </c>
      <c r="J116" s="146">
        <f>IFERROR($E116*$I116,0)</f>
        <v>15671.60</v>
      </c>
      <c r="K116" s="146">
        <f>IFERROR($F116*$I116,0)</f>
        <v>15671.60</v>
      </c>
      <c r="L116" s="146">
        <f>IFERROR(K116-J116,0)</f>
        <v>0</v>
      </c>
    </row>
    <row r="117" spans="1:12" ht="15">
      <c r="A117" s="122"/>
      <c r="B117" s="123"/>
      <c r="C117" s="126"/>
      <c r="D117" s="147"/>
      <c r="E117" s="127">
        <f t="shared" si="67" ref="E117:E120">ROUND($D117*$B$9*$B$10,2)</f>
        <v>0</v>
      </c>
      <c r="F117" s="147"/>
      <c r="G117" s="144">
        <f>IFERROR(($F117/$E117)-1,0)</f>
        <v>0</v>
      </c>
      <c r="H117" s="144">
        <f t="shared" si="68" ref="H117:H120">IFERROR((F117/D117)-1,0)</f>
        <v>0</v>
      </c>
      <c r="I117" s="145"/>
      <c r="J117" s="146">
        <f>IFERROR($E117*$I117,0)</f>
        <v>0</v>
      </c>
      <c r="K117" s="146">
        <f>IFERROR($F117*$I117,0)</f>
        <v>0</v>
      </c>
      <c r="L117" s="146">
        <f t="shared" si="69" ref="L117:L120">IFERROR(K117-J117,0)</f>
        <v>0</v>
      </c>
    </row>
    <row r="118" spans="1:12" ht="15">
      <c r="A118" s="122"/>
      <c r="B118" s="123"/>
      <c r="C118" s="126"/>
      <c r="D118" s="148"/>
      <c r="E118" s="127">
        <f>ROUND($D118*$B$9*$B$10,2)</f>
        <v>0</v>
      </c>
      <c r="F118" s="148"/>
      <c r="G118" s="144">
        <f>IFERROR(($F118/$E118)-1,0)</f>
        <v>0</v>
      </c>
      <c r="H118" s="144">
        <f>IFERROR((F118/D118)-1,0)</f>
        <v>0</v>
      </c>
      <c r="I118" s="145"/>
      <c r="J118" s="146">
        <f>IFERROR($E118*$I118,0)</f>
        <v>0</v>
      </c>
      <c r="K118" s="146">
        <f>IFERROR($F118*$I118,0)</f>
        <v>0</v>
      </c>
      <c r="L118" s="146">
        <f>IFERROR(K118-J118,0)</f>
        <v>0</v>
      </c>
    </row>
    <row r="119" spans="1:12" ht="15">
      <c r="A119" s="122"/>
      <c r="B119" s="123"/>
      <c r="C119" s="126"/>
      <c r="D119" s="147"/>
      <c r="E119" s="127">
        <f>ROUND($D119*$B$9*$B$10,2)</f>
        <v>0</v>
      </c>
      <c r="F119" s="147"/>
      <c r="G119" s="144">
        <f>IFERROR(($F119/$E119)-1,0)</f>
        <v>0</v>
      </c>
      <c r="H119" s="144">
        <f>IFERROR((F119/D119)-1,0)</f>
        <v>0</v>
      </c>
      <c r="I119" s="145"/>
      <c r="J119" s="146">
        <f>IFERROR($E119*$I119,0)</f>
        <v>0</v>
      </c>
      <c r="K119" s="146">
        <f>IFERROR($F119*$I119,0)</f>
        <v>0</v>
      </c>
      <c r="L119" s="146">
        <f>IFERROR(K119-J119,0)</f>
        <v>0</v>
      </c>
    </row>
    <row r="120" spans="1:12" ht="15">
      <c r="A120" s="122"/>
      <c r="B120" s="123"/>
      <c r="C120" s="126"/>
      <c r="D120" s="147"/>
      <c r="E120" s="127">
        <f>ROUND($D120*$B$9*$B$10,2)</f>
        <v>0</v>
      </c>
      <c r="F120" s="147"/>
      <c r="G120" s="144">
        <f>IFERROR(($F120/$E120)-1,0)</f>
        <v>0</v>
      </c>
      <c r="H120" s="144">
        <f>IFERROR((F120/D120)-1,0)</f>
        <v>0</v>
      </c>
      <c r="I120" s="149"/>
      <c r="J120" s="146">
        <f>IFERROR($E120*$I120,0)</f>
        <v>0</v>
      </c>
      <c r="K120" s="146">
        <f>IFERROR($F120*$I120,0)</f>
        <v>0</v>
      </c>
      <c r="L120" s="146">
        <f>IFERROR(K120-J120,0)</f>
        <v>0</v>
      </c>
    </row>
    <row r="121" spans="1:12" ht="15">
      <c r="A121" s="122"/>
      <c r="B121" s="21" t="s">
        <v>52</v>
      </c>
      <c r="C121" s="21" t="s">
        <v>53</v>
      </c>
      <c r="D121" s="147"/>
      <c r="E121" s="147"/>
      <c r="F121" s="147"/>
      <c r="G121" s="147"/>
      <c r="H121" s="147"/>
      <c r="I121" s="149"/>
      <c r="J121" s="149"/>
      <c r="K121" s="150"/>
      <c r="L121" s="151"/>
    </row>
    <row r="122" spans="1:12" ht="15">
      <c r="A122" s="122" t="s">
        <v>62</v>
      </c>
      <c r="B122" s="123" t="s">
        <v>68</v>
      </c>
      <c r="C122" s="126" t="s">
        <v>53</v>
      </c>
      <c r="D122" s="127">
        <v>425</v>
      </c>
      <c r="E122" s="127">
        <f>ROUND($D122*$B$9*$B$10,2)</f>
        <v>237.87</v>
      </c>
      <c r="F122" s="127">
        <v>237.87</v>
      </c>
      <c r="G122" s="144">
        <f>IFERROR(($F122/$E122)-1,0)</f>
        <v>0</v>
      </c>
      <c r="H122" s="144">
        <f>IFERROR((F122/D122)-1,0)</f>
        <v>-0.4403058823529412</v>
      </c>
      <c r="I122" s="145">
        <v>60</v>
      </c>
      <c r="J122" s="146">
        <f>IFERROR($E122*$I122,0)</f>
        <v>14272.20</v>
      </c>
      <c r="K122" s="146">
        <f>IFERROR($F122*$I122,0)</f>
        <v>14272.20</v>
      </c>
      <c r="L122" s="146">
        <f>IFERROR(K122-J122,0)</f>
        <v>0</v>
      </c>
    </row>
    <row r="123" spans="1:12" ht="15">
      <c r="A123" s="122"/>
      <c r="B123" s="123"/>
      <c r="C123" s="126"/>
      <c r="D123" s="147"/>
      <c r="E123" s="127">
        <f t="shared" si="70" ref="E123:E126">ROUND($D123*$B$9*$B$10,2)</f>
        <v>0</v>
      </c>
      <c r="F123" s="147"/>
      <c r="G123" s="144">
        <f>IFERROR(($F123/$E123)-1,0)</f>
        <v>0</v>
      </c>
      <c r="H123" s="144">
        <f t="shared" si="71" ref="H123:H126">IFERROR((F123/D123)-1,0)</f>
        <v>0</v>
      </c>
      <c r="I123" s="145"/>
      <c r="J123" s="146">
        <f>IFERROR($E123*$I123,0)</f>
        <v>0</v>
      </c>
      <c r="K123" s="146">
        <f>IFERROR($F123*$I123,0)</f>
        <v>0</v>
      </c>
      <c r="L123" s="146">
        <f t="shared" si="72" ref="L123:L126">IFERROR(K123-J123,0)</f>
        <v>0</v>
      </c>
    </row>
    <row r="124" spans="1:12" ht="15">
      <c r="A124" s="122"/>
      <c r="B124" s="123"/>
      <c r="C124" s="126"/>
      <c r="D124" s="148"/>
      <c r="E124" s="127">
        <f>ROUND($D124*$B$9*$B$10,2)</f>
        <v>0</v>
      </c>
      <c r="F124" s="148"/>
      <c r="G124" s="144">
        <f>IFERROR(($F124/$E124)-1,0)</f>
        <v>0</v>
      </c>
      <c r="H124" s="144">
        <f>IFERROR((F124/D124)-1,0)</f>
        <v>0</v>
      </c>
      <c r="I124" s="145"/>
      <c r="J124" s="146">
        <f>IFERROR($E124*$I124,0)</f>
        <v>0</v>
      </c>
      <c r="K124" s="146">
        <f>IFERROR($F124*$I124,0)</f>
        <v>0</v>
      </c>
      <c r="L124" s="146">
        <f>IFERROR(K124-J124,0)</f>
        <v>0</v>
      </c>
    </row>
    <row r="125" spans="1:12" ht="15">
      <c r="A125" s="122"/>
      <c r="B125" s="123"/>
      <c r="C125" s="126"/>
      <c r="D125" s="147"/>
      <c r="E125" s="127">
        <f>ROUND($D125*$B$9*$B$10,2)</f>
        <v>0</v>
      </c>
      <c r="F125" s="147"/>
      <c r="G125" s="144">
        <f>IFERROR(($F125/$E125)-1,0)</f>
        <v>0</v>
      </c>
      <c r="H125" s="144">
        <f>IFERROR((F125/D125)-1,0)</f>
        <v>0</v>
      </c>
      <c r="I125" s="145"/>
      <c r="J125" s="146">
        <f>IFERROR($E125*$I125,0)</f>
        <v>0</v>
      </c>
      <c r="K125" s="146">
        <f>IFERROR($F125*$I125,0)</f>
        <v>0</v>
      </c>
      <c r="L125" s="146">
        <f>IFERROR(K125-J125,0)</f>
        <v>0</v>
      </c>
    </row>
    <row r="126" spans="1:12" ht="15">
      <c r="A126" s="122"/>
      <c r="B126" s="123"/>
      <c r="C126" s="126"/>
      <c r="D126" s="147"/>
      <c r="E126" s="127">
        <f>ROUND($D126*$B$9*$B$10,2)</f>
        <v>0</v>
      </c>
      <c r="F126" s="147"/>
      <c r="G126" s="144">
        <f>IFERROR(($F126/$E126)-1,0)</f>
        <v>0</v>
      </c>
      <c r="H126" s="144">
        <f>IFERROR((F126/D126)-1,0)</f>
        <v>0</v>
      </c>
      <c r="I126" s="149"/>
      <c r="J126" s="146">
        <f>IFERROR($E126*$I126,0)</f>
        <v>0</v>
      </c>
      <c r="K126" s="146">
        <f>IFERROR($F126*$I126,0)</f>
        <v>0</v>
      </c>
      <c r="L126" s="146">
        <f>IFERROR(K126-J126,0)</f>
        <v>0</v>
      </c>
    </row>
    <row r="127" spans="1:12" ht="15">
      <c r="A127" s="122"/>
      <c r="B127" s="21" t="s">
        <v>54</v>
      </c>
      <c r="C127" s="21" t="s">
        <v>55</v>
      </c>
      <c r="D127" s="147"/>
      <c r="E127" s="147"/>
      <c r="F127" s="147"/>
      <c r="G127" s="147"/>
      <c r="H127" s="147"/>
      <c r="I127" s="149"/>
      <c r="J127" s="149"/>
      <c r="K127" s="150"/>
      <c r="L127" s="151"/>
    </row>
    <row r="128" spans="1:12" ht="15">
      <c r="A128" s="122" t="s">
        <v>62</v>
      </c>
      <c r="B128" s="123" t="s">
        <v>69</v>
      </c>
      <c r="C128" s="126" t="s">
        <v>55</v>
      </c>
      <c r="D128" s="127">
        <v>450</v>
      </c>
      <c r="E128" s="127">
        <f>ROUND($D128*$B$9*$B$10,2)</f>
        <v>251.87</v>
      </c>
      <c r="F128" s="127">
        <v>251.87</v>
      </c>
      <c r="G128" s="144">
        <f>IFERROR(($F128/$E128)-1,0)</f>
        <v>0</v>
      </c>
      <c r="H128" s="144">
        <f>IFERROR((F128/D128)-1,0)</f>
        <v>-0.44028888888888884</v>
      </c>
      <c r="I128" s="145">
        <v>50</v>
      </c>
      <c r="J128" s="146">
        <f>IFERROR($E128*$I128,0)</f>
        <v>12593.50</v>
      </c>
      <c r="K128" s="146">
        <f>IFERROR($F128*$I128,0)</f>
        <v>12593.50</v>
      </c>
      <c r="L128" s="146">
        <f>IFERROR(K128-J128,0)</f>
        <v>0</v>
      </c>
    </row>
    <row r="129" spans="1:12" ht="15">
      <c r="A129" s="122"/>
      <c r="B129" s="123"/>
      <c r="C129" s="126"/>
      <c r="D129" s="147"/>
      <c r="E129" s="127">
        <f t="shared" si="73" ref="E129:E132">ROUND($D129*$B$9*$B$10,2)</f>
        <v>0</v>
      </c>
      <c r="F129" s="147"/>
      <c r="G129" s="144">
        <f>IFERROR(($F129/$E129)-1,0)</f>
        <v>0</v>
      </c>
      <c r="H129" s="144">
        <f t="shared" si="74" ref="H129:H132">IFERROR((F129/D129)-1,0)</f>
        <v>0</v>
      </c>
      <c r="I129" s="145"/>
      <c r="J129" s="146">
        <f>IFERROR($E129*$I129,0)</f>
        <v>0</v>
      </c>
      <c r="K129" s="146">
        <f>IFERROR($F129*$I129,0)</f>
        <v>0</v>
      </c>
      <c r="L129" s="146">
        <f t="shared" si="75" ref="L129:L132">IFERROR(K129-J129,0)</f>
        <v>0</v>
      </c>
    </row>
    <row r="130" spans="1:12" ht="15">
      <c r="A130" s="122"/>
      <c r="B130" s="123"/>
      <c r="C130" s="126"/>
      <c r="D130" s="148"/>
      <c r="E130" s="127">
        <f>ROUND($D130*$B$9*$B$10,2)</f>
        <v>0</v>
      </c>
      <c r="F130" s="148"/>
      <c r="G130" s="144">
        <f>IFERROR(($F130/$E130)-1,0)</f>
        <v>0</v>
      </c>
      <c r="H130" s="144">
        <f>IFERROR((F130/D130)-1,0)</f>
        <v>0</v>
      </c>
      <c r="I130" s="145"/>
      <c r="J130" s="146">
        <f>IFERROR($E130*$I130,0)</f>
        <v>0</v>
      </c>
      <c r="K130" s="146">
        <f>IFERROR($F130*$I130,0)</f>
        <v>0</v>
      </c>
      <c r="L130" s="146">
        <f>IFERROR(K130-J130,0)</f>
        <v>0</v>
      </c>
    </row>
    <row r="131" spans="1:12" ht="15">
      <c r="A131" s="122"/>
      <c r="B131" s="123"/>
      <c r="C131" s="126"/>
      <c r="D131" s="147"/>
      <c r="E131" s="127">
        <f>ROUND($D131*$B$9*$B$10,2)</f>
        <v>0</v>
      </c>
      <c r="F131" s="147"/>
      <c r="G131" s="144">
        <f>IFERROR(($F131/$E131)-1,0)</f>
        <v>0</v>
      </c>
      <c r="H131" s="144">
        <f>IFERROR((F131/D131)-1,0)</f>
        <v>0</v>
      </c>
      <c r="I131" s="145"/>
      <c r="J131" s="146">
        <f>IFERROR($E131*$I131,0)</f>
        <v>0</v>
      </c>
      <c r="K131" s="146">
        <f>IFERROR($F131*$I131,0)</f>
        <v>0</v>
      </c>
      <c r="L131" s="146">
        <f>IFERROR(K131-J131,0)</f>
        <v>0</v>
      </c>
    </row>
    <row r="132" spans="1:12" ht="15">
      <c r="A132" s="122"/>
      <c r="B132" s="123"/>
      <c r="C132" s="126"/>
      <c r="D132" s="147"/>
      <c r="E132" s="127">
        <f>ROUND($D132*$B$9*$B$10,2)</f>
        <v>0</v>
      </c>
      <c r="F132" s="147"/>
      <c r="G132" s="144">
        <f>IFERROR(($F132/$E132)-1,0)</f>
        <v>0</v>
      </c>
      <c r="H132" s="144">
        <f>IFERROR((F132/D132)-1,0)</f>
        <v>0</v>
      </c>
      <c r="I132" s="149"/>
      <c r="J132" s="146">
        <f>IFERROR($E132*$I132,0)</f>
        <v>0</v>
      </c>
      <c r="K132" s="146">
        <f>IFERROR($F132*$I132,0)</f>
        <v>0</v>
      </c>
      <c r="L132" s="146">
        <f>IFERROR(K132-J132,0)</f>
        <v>0</v>
      </c>
    </row>
    <row r="133" spans="1:12" ht="15">
      <c r="A133" s="122"/>
      <c r="B133" s="21" t="s">
        <v>57</v>
      </c>
      <c r="C133" s="21" t="s">
        <v>58</v>
      </c>
      <c r="D133" s="147"/>
      <c r="E133" s="147"/>
      <c r="F133" s="147"/>
      <c r="G133" s="147"/>
      <c r="H133" s="147"/>
      <c r="I133" s="149"/>
      <c r="J133" s="149"/>
      <c r="K133" s="150"/>
      <c r="L133" s="151"/>
    </row>
    <row r="134" spans="1:12" ht="15">
      <c r="A134" s="122" t="s">
        <v>62</v>
      </c>
      <c r="B134" s="123" t="s">
        <v>70</v>
      </c>
      <c r="C134" s="126" t="s">
        <v>58</v>
      </c>
      <c r="D134" s="127">
        <v>475</v>
      </c>
      <c r="E134" s="127">
        <f>ROUND($D134*$B$9*$B$10,2)</f>
        <v>265.86</v>
      </c>
      <c r="F134" s="127">
        <v>265.86</v>
      </c>
      <c r="G134" s="144">
        <f>IFERROR(($F134/$E134)-1,0)</f>
        <v>0</v>
      </c>
      <c r="H134" s="144">
        <f>IFERROR((F134/D134)-1,0)</f>
        <v>-0.4402947368421052</v>
      </c>
      <c r="I134" s="145">
        <v>40</v>
      </c>
      <c r="J134" s="146">
        <f>IFERROR($E134*$I134,0)</f>
        <v>10634.40</v>
      </c>
      <c r="K134" s="146">
        <f>IFERROR($F134*$I134,0)</f>
        <v>10634.40</v>
      </c>
      <c r="L134" s="146">
        <f>IFERROR(K134-J134,0)</f>
        <v>0</v>
      </c>
    </row>
    <row r="135" spans="1:12" ht="15">
      <c r="A135" s="122"/>
      <c r="B135" s="123"/>
      <c r="C135" s="126"/>
      <c r="D135" s="147"/>
      <c r="E135" s="127">
        <f t="shared" si="76" ref="E135:E138">ROUND($D135*$B$9*$B$10,2)</f>
        <v>0</v>
      </c>
      <c r="F135" s="147"/>
      <c r="G135" s="144">
        <f>IFERROR(($F135/$E135)-1,0)</f>
        <v>0</v>
      </c>
      <c r="H135" s="144">
        <f t="shared" si="77" ref="H135:H138">IFERROR((F135/D135)-1,0)</f>
        <v>0</v>
      </c>
      <c r="I135" s="145"/>
      <c r="J135" s="146">
        <f>IFERROR($E135*$I135,0)</f>
        <v>0</v>
      </c>
      <c r="K135" s="146">
        <f>IFERROR($F135*$I135,0)</f>
        <v>0</v>
      </c>
      <c r="L135" s="146">
        <f t="shared" si="78" ref="L135:L138">IFERROR(K135-J135,0)</f>
        <v>0</v>
      </c>
    </row>
    <row r="136" spans="1:12" ht="15">
      <c r="A136" s="122"/>
      <c r="B136" s="123"/>
      <c r="C136" s="126"/>
      <c r="D136" s="148"/>
      <c r="E136" s="127">
        <f>ROUND($D136*$B$9*$B$10,2)</f>
        <v>0</v>
      </c>
      <c r="F136" s="148"/>
      <c r="G136" s="144">
        <f>IFERROR(($F136/$E136)-1,0)</f>
        <v>0</v>
      </c>
      <c r="H136" s="144">
        <f>IFERROR((F136/D136)-1,0)</f>
        <v>0</v>
      </c>
      <c r="I136" s="145"/>
      <c r="J136" s="146">
        <f>IFERROR($E136*$I136,0)</f>
        <v>0</v>
      </c>
      <c r="K136" s="146">
        <f>IFERROR($F136*$I136,0)</f>
        <v>0</v>
      </c>
      <c r="L136" s="146">
        <f>IFERROR(K136-J136,0)</f>
        <v>0</v>
      </c>
    </row>
    <row r="137" spans="1:12" ht="15">
      <c r="A137" s="122"/>
      <c r="B137" s="123"/>
      <c r="C137" s="126"/>
      <c r="D137" s="147"/>
      <c r="E137" s="127">
        <f>ROUND($D137*$B$9*$B$10,2)</f>
        <v>0</v>
      </c>
      <c r="F137" s="147"/>
      <c r="G137" s="144">
        <f>IFERROR(($F137/$E137)-1,0)</f>
        <v>0</v>
      </c>
      <c r="H137" s="144">
        <f>IFERROR((F137/D137)-1,0)</f>
        <v>0</v>
      </c>
      <c r="I137" s="145"/>
      <c r="J137" s="146">
        <f>IFERROR($E137*$I137,0)</f>
        <v>0</v>
      </c>
      <c r="K137" s="146">
        <f>IFERROR($F137*$I137,0)</f>
        <v>0</v>
      </c>
      <c r="L137" s="146">
        <f>IFERROR(K137-J137,0)</f>
        <v>0</v>
      </c>
    </row>
    <row r="138" spans="1:12" ht="15">
      <c r="A138" s="122"/>
      <c r="B138" s="123"/>
      <c r="C138" s="126"/>
      <c r="D138" s="147"/>
      <c r="E138" s="127">
        <f>ROUND($D138*$B$9*$B$10,2)</f>
        <v>0</v>
      </c>
      <c r="F138" s="147"/>
      <c r="G138" s="144">
        <f>IFERROR(($F138/$E138)-1,0)</f>
        <v>0</v>
      </c>
      <c r="H138" s="144">
        <f>IFERROR((F138/D138)-1,0)</f>
        <v>0</v>
      </c>
      <c r="I138" s="149"/>
      <c r="J138" s="146">
        <f>IFERROR($E138*$I138,0)</f>
        <v>0</v>
      </c>
      <c r="K138" s="146">
        <f>IFERROR($F138*$I138,0)</f>
        <v>0</v>
      </c>
      <c r="L138" s="146">
        <f>IFERROR(K138-J138,0)</f>
        <v>0</v>
      </c>
    </row>
    <row r="139" spans="1:12" ht="30">
      <c r="A139" s="122"/>
      <c r="B139" s="21" t="s">
        <v>59</v>
      </c>
      <c r="C139" s="21" t="s">
        <v>60</v>
      </c>
      <c r="D139" s="147"/>
      <c r="E139" s="147"/>
      <c r="F139" s="147"/>
      <c r="G139" s="147"/>
      <c r="H139" s="147"/>
      <c r="I139" s="149"/>
      <c r="J139" s="149"/>
      <c r="K139" s="150"/>
      <c r="L139" s="151"/>
    </row>
    <row r="140" spans="1:12" ht="15">
      <c r="A140" s="122" t="s">
        <v>62</v>
      </c>
      <c r="B140" s="123" t="s">
        <v>71</v>
      </c>
      <c r="C140" s="126" t="s">
        <v>60</v>
      </c>
      <c r="D140" s="127">
        <v>500</v>
      </c>
      <c r="E140" s="127">
        <f>ROUND($D140*$B$9*$B$10,2)</f>
        <v>279.85</v>
      </c>
      <c r="F140" s="127">
        <v>279.85</v>
      </c>
      <c r="G140" s="144">
        <f>IFERROR(($F140/$E140)-1,0)</f>
        <v>0</v>
      </c>
      <c r="H140" s="144">
        <f>IFERROR((F140/D140)-1,0)</f>
        <v>-0.4402999999999999</v>
      </c>
      <c r="I140" s="145">
        <v>30</v>
      </c>
      <c r="J140" s="146">
        <f>IFERROR($E140*$I140,0)</f>
        <v>8395.50</v>
      </c>
      <c r="K140" s="146">
        <f>IFERROR($F140*$I140,0)</f>
        <v>8395.50</v>
      </c>
      <c r="L140" s="146">
        <f>IFERROR(K140-J140,0)</f>
        <v>0</v>
      </c>
    </row>
    <row r="141" spans="1:12" ht="15">
      <c r="A141" s="122"/>
      <c r="B141" s="123"/>
      <c r="C141" s="126"/>
      <c r="D141" s="147"/>
      <c r="E141" s="127">
        <f t="shared" si="79" ref="E141:E144">ROUND($D141*$B$9*$B$10,2)</f>
        <v>0</v>
      </c>
      <c r="F141" s="147"/>
      <c r="G141" s="144">
        <f>IFERROR(($F141/$E141)-1,0)</f>
        <v>0</v>
      </c>
      <c r="H141" s="144">
        <f t="shared" si="80" ref="H141:H144">IFERROR((F141/D141)-1,0)</f>
        <v>0</v>
      </c>
      <c r="I141" s="145"/>
      <c r="J141" s="146">
        <f>IFERROR($E141*$I141,0)</f>
        <v>0</v>
      </c>
      <c r="K141" s="146">
        <f>IFERROR($F141*$I141,0)</f>
        <v>0</v>
      </c>
      <c r="L141" s="146">
        <f t="shared" si="81" ref="L141:L144">IFERROR(K141-J141,0)</f>
        <v>0</v>
      </c>
    </row>
    <row r="142" spans="1:12" ht="15">
      <c r="A142" s="122"/>
      <c r="B142" s="123"/>
      <c r="C142" s="126"/>
      <c r="D142" s="148"/>
      <c r="E142" s="127">
        <f>ROUND($D142*$B$9*$B$10,2)</f>
        <v>0</v>
      </c>
      <c r="F142" s="148"/>
      <c r="G142" s="144">
        <f>IFERROR(($F142/$E142)-1,0)</f>
        <v>0</v>
      </c>
      <c r="H142" s="144">
        <f>IFERROR((F142/D142)-1,0)</f>
        <v>0</v>
      </c>
      <c r="I142" s="145"/>
      <c r="J142" s="146">
        <f>IFERROR($E142*$I142,0)</f>
        <v>0</v>
      </c>
      <c r="K142" s="146">
        <f>IFERROR($F142*$I142,0)</f>
        <v>0</v>
      </c>
      <c r="L142" s="146">
        <f>IFERROR(K142-J142,0)</f>
        <v>0</v>
      </c>
    </row>
    <row r="143" spans="1:12" ht="15">
      <c r="A143" s="122"/>
      <c r="B143" s="123"/>
      <c r="C143" s="126"/>
      <c r="D143" s="147"/>
      <c r="E143" s="127">
        <f>ROUND($D143*$B$9*$B$10,2)</f>
        <v>0</v>
      </c>
      <c r="F143" s="147"/>
      <c r="G143" s="144">
        <f>IFERROR(($F143/$E143)-1,0)</f>
        <v>0</v>
      </c>
      <c r="H143" s="144">
        <f>IFERROR((F143/D143)-1,0)</f>
        <v>0</v>
      </c>
      <c r="I143" s="145"/>
      <c r="J143" s="146">
        <f>IFERROR($E143*$I143,0)</f>
        <v>0</v>
      </c>
      <c r="K143" s="146">
        <f>IFERROR($F143*$I143,0)</f>
        <v>0</v>
      </c>
      <c r="L143" s="146">
        <f>IFERROR(K143-J143,0)</f>
        <v>0</v>
      </c>
    </row>
    <row r="144" spans="1:12" ht="15">
      <c r="A144" s="122"/>
      <c r="B144" s="123"/>
      <c r="C144" s="126"/>
      <c r="D144" s="147"/>
      <c r="E144" s="127">
        <f>ROUND($D144*$B$9*$B$10,2)</f>
        <v>0</v>
      </c>
      <c r="F144" s="147"/>
      <c r="G144" s="144">
        <f>IFERROR(($F144/$E144)-1,0)</f>
        <v>0</v>
      </c>
      <c r="H144" s="144">
        <f>IFERROR((F144/D144)-1,0)</f>
        <v>0</v>
      </c>
      <c r="I144" s="149"/>
      <c r="J144" s="146">
        <f>IFERROR($E144*$I144,0)</f>
        <v>0</v>
      </c>
      <c r="K144" s="146">
        <f>IFERROR($F144*$I144,0)</f>
        <v>0</v>
      </c>
      <c r="L144" s="146">
        <f>IFERROR(K144-J144,0)</f>
        <v>0</v>
      </c>
    </row>
    <row r="145" spans="1:12" ht="30">
      <c r="A145" s="122"/>
      <c r="B145" s="21" t="s">
        <v>78</v>
      </c>
      <c r="C145" s="21" t="s">
        <v>80</v>
      </c>
      <c r="D145" s="147"/>
      <c r="E145" s="147"/>
      <c r="F145" s="147"/>
      <c r="G145" s="147"/>
      <c r="H145" s="147"/>
      <c r="I145" s="149"/>
      <c r="J145" s="149"/>
      <c r="K145" s="150"/>
      <c r="L145" s="151"/>
    </row>
    <row r="146" spans="1:12" ht="15">
      <c r="A146" s="122" t="s">
        <v>62</v>
      </c>
      <c r="B146" s="123" t="s">
        <v>79</v>
      </c>
      <c r="C146" s="126" t="s">
        <v>80</v>
      </c>
      <c r="D146" s="127">
        <v>90</v>
      </c>
      <c r="E146" s="127">
        <f>ROUND($D146*$B$9*$B$10,2)</f>
        <v>50.37</v>
      </c>
      <c r="F146" s="127">
        <v>50.37</v>
      </c>
      <c r="G146" s="144">
        <f>IFERROR(($F146/$E146)-1,0)</f>
        <v>0</v>
      </c>
      <c r="H146" s="144">
        <f>IFERROR((F146/D146)-1,0)</f>
        <v>-0.44033333333333335</v>
      </c>
      <c r="I146" s="145">
        <v>5</v>
      </c>
      <c r="J146" s="146">
        <f>IFERROR($E146*$I146,0)</f>
        <v>251.85</v>
      </c>
      <c r="K146" s="146">
        <f>IFERROR($F146*$I146,0)</f>
        <v>251.85</v>
      </c>
      <c r="L146" s="146">
        <f>IFERROR(K146-J146,0)</f>
        <v>0</v>
      </c>
    </row>
    <row r="147" spans="1:12" ht="15">
      <c r="A147" s="122"/>
      <c r="B147" s="123"/>
      <c r="C147" s="126"/>
      <c r="D147" s="147"/>
      <c r="E147" s="127">
        <f t="shared" si="82" ref="E147:E150">ROUND($D147*$B$9*$B$10,2)</f>
        <v>0</v>
      </c>
      <c r="F147" s="147"/>
      <c r="G147" s="144">
        <f>IFERROR(($F147/$E147)-1,0)</f>
        <v>0</v>
      </c>
      <c r="H147" s="144">
        <f t="shared" si="83" ref="H147:H150">IFERROR((F147/D147)-1,0)</f>
        <v>0</v>
      </c>
      <c r="I147" s="145"/>
      <c r="J147" s="146">
        <f>IFERROR($E147*$I147,0)</f>
        <v>0</v>
      </c>
      <c r="K147" s="146">
        <f>IFERROR($F147*$I147,0)</f>
        <v>0</v>
      </c>
      <c r="L147" s="146">
        <f t="shared" si="84" ref="L147:L150">IFERROR(K147-J147,0)</f>
        <v>0</v>
      </c>
    </row>
    <row r="148" spans="1:12" ht="15">
      <c r="A148" s="122"/>
      <c r="B148" s="123"/>
      <c r="C148" s="126"/>
      <c r="D148" s="148"/>
      <c r="E148" s="127">
        <f>ROUND($D148*$B$9*$B$10,2)</f>
        <v>0</v>
      </c>
      <c r="F148" s="148"/>
      <c r="G148" s="144">
        <f>IFERROR(($F148/$E148)-1,0)</f>
        <v>0</v>
      </c>
      <c r="H148" s="144">
        <f>IFERROR((F148/D148)-1,0)</f>
        <v>0</v>
      </c>
      <c r="I148" s="145"/>
      <c r="J148" s="146">
        <f>IFERROR($E148*$I148,0)</f>
        <v>0</v>
      </c>
      <c r="K148" s="146">
        <f>IFERROR($F148*$I148,0)</f>
        <v>0</v>
      </c>
      <c r="L148" s="146">
        <f>IFERROR(K148-J148,0)</f>
        <v>0</v>
      </c>
    </row>
    <row r="149" spans="1:12" ht="15">
      <c r="A149" s="122"/>
      <c r="B149" s="123"/>
      <c r="C149" s="126"/>
      <c r="D149" s="147"/>
      <c r="E149" s="127">
        <f>ROUND($D149*$B$9*$B$10,2)</f>
        <v>0</v>
      </c>
      <c r="F149" s="147"/>
      <c r="G149" s="144">
        <f>IFERROR(($F149/$E149)-1,0)</f>
        <v>0</v>
      </c>
      <c r="H149" s="144">
        <f>IFERROR((F149/D149)-1,0)</f>
        <v>0</v>
      </c>
      <c r="I149" s="145"/>
      <c r="J149" s="146">
        <f>IFERROR($E149*$I149,0)</f>
        <v>0</v>
      </c>
      <c r="K149" s="146">
        <f>IFERROR($F149*$I149,0)</f>
        <v>0</v>
      </c>
      <c r="L149" s="146">
        <f>IFERROR(K149-J149,0)</f>
        <v>0</v>
      </c>
    </row>
    <row r="150" spans="1:12" ht="15">
      <c r="A150" s="122"/>
      <c r="B150" s="123"/>
      <c r="C150" s="126"/>
      <c r="D150" s="147"/>
      <c r="E150" s="127">
        <f>ROUND($D150*$B$9*$B$10,2)</f>
        <v>0</v>
      </c>
      <c r="F150" s="147"/>
      <c r="G150" s="144">
        <f>IFERROR(($F150/$E150)-1,0)</f>
        <v>0</v>
      </c>
      <c r="H150" s="144">
        <f>IFERROR((F150/D150)-1,0)</f>
        <v>0</v>
      </c>
      <c r="I150" s="149"/>
      <c r="J150" s="146">
        <f>IFERROR($E150*$I150,0)</f>
        <v>0</v>
      </c>
      <c r="K150" s="146">
        <f>IFERROR($F150*$I150,0)</f>
        <v>0</v>
      </c>
      <c r="L150" s="146">
        <f>IFERROR(K150-J150,0)</f>
        <v>0</v>
      </c>
    </row>
  </sheetData>
  <mergeCells count="4">
    <mergeCell ref="A84:L85"/>
    <mergeCell ref="J87:L87"/>
    <mergeCell ref="A14:N15"/>
    <mergeCell ref="L17:N17"/>
  </mergeCells>
  <conditionalFormatting sqref="D12">
    <cfRule type="expression" priority="1" dxfId="1">
      <formula>$D12="Fail"</formula>
    </cfRule>
    <cfRule type="expression" priority="2" dxfId="0">
      <formula>$D12="Pass"</formula>
    </cfRule>
  </conditionalFormatting>
  <pageMargins left="0.25" right="0.25" top="0.75" bottom="0.75" header="0.3" footer="0.3"/>
  <pageSetup fitToHeight="0" orientation="landscape" paperSize="5" scale="59" r:id="rId1"/>
  <headerFooter>
    <oddFooter>&amp;L&amp;Z&amp;F\&amp;A&amp;R&amp;D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P83"/>
  <sheetViews>
    <sheetView zoomScale="90" zoomScaleNormal="90" workbookViewId="0" topLeftCell="A76">
      <selection pane="topLeft" activeCell="A31" sqref="A31"/>
    </sheetView>
  </sheetViews>
  <sheetFormatPr defaultColWidth="9.145" defaultRowHeight="15"/>
  <cols>
    <col min="1" max="1" width="9.125" style="41"/>
    <col min="2" max="2" width="61" style="132" customWidth="1"/>
    <col min="3" max="3" width="25.75" style="37" customWidth="1"/>
    <col min="4" max="4" width="25" style="108" customWidth="1"/>
    <col min="5" max="5" width="15.75" style="35" customWidth="1"/>
    <col min="6" max="6" width="17.625" style="35" customWidth="1"/>
    <col min="7" max="9" width="15.75" style="35" customWidth="1"/>
    <col min="10" max="10" width="15.75" style="39" customWidth="1"/>
    <col min="11" max="11" width="16.375" style="39" bestFit="1" customWidth="1"/>
    <col min="12" max="12" width="15.75" style="39" customWidth="1"/>
    <col min="13" max="13" width="15.75" style="40" customWidth="1"/>
    <col min="14" max="16" width="18.25" style="41" customWidth="1"/>
    <col min="17" max="17" width="15.75" style="41" customWidth="1"/>
    <col min="18" max="16384" width="9.125" style="41"/>
  </cols>
  <sheetData>
    <row r="1" spans="1:13" ht="15">
      <c r="A1" s="326" t="str">
        <f ca="1">MID(CELL("filename",A1),FIND("]",CELL("filename",A1))+1,255)</f>
        <v>Holding Co TRP</v>
      </c>
      <c r="B1" s="326"/>
      <c r="C1" s="108"/>
      <c r="D1" s="35"/>
      <c r="F1" s="38"/>
      <c r="I1" s="39"/>
      <c r="L1" s="40"/>
      <c r="M1" s="41"/>
    </row>
    <row r="2" spans="1:13" ht="15">
      <c r="A2" s="326" t="s">
        <v>19</v>
      </c>
      <c r="B2" s="326"/>
      <c r="C2" s="108"/>
      <c r="D2" s="35"/>
      <c r="F2" s="79"/>
      <c r="I2" s="39"/>
      <c r="L2" s="40"/>
      <c r="M2" s="41"/>
    </row>
    <row r="3" spans="1:13" ht="15">
      <c r="A3" s="326" t="s">
        <v>25</v>
      </c>
      <c r="B3" s="326"/>
      <c r="C3" s="108"/>
      <c r="D3" s="35"/>
      <c r="F3" s="43"/>
      <c r="I3" s="39"/>
      <c r="L3" s="40"/>
      <c r="M3" s="41"/>
    </row>
    <row r="4" spans="1:13" ht="15">
      <c r="A4" s="326" t="s">
        <v>20</v>
      </c>
      <c r="B4" s="326"/>
      <c r="C4" s="173"/>
      <c r="D4" s="35"/>
      <c r="F4" s="43"/>
      <c r="I4" s="39"/>
      <c r="L4" s="40"/>
      <c r="M4" s="41"/>
    </row>
    <row r="5" spans="1:13" ht="15">
      <c r="A5" s="326" t="s">
        <v>14</v>
      </c>
      <c r="B5" s="326"/>
      <c r="C5" s="173"/>
      <c r="D5" s="35"/>
      <c r="F5" s="43"/>
      <c r="G5" s="101"/>
      <c r="H5" s="41"/>
      <c r="I5" s="41"/>
      <c r="J5" s="41"/>
      <c r="K5" s="41"/>
      <c r="L5" s="41"/>
      <c r="M5" s="41"/>
    </row>
    <row r="6" spans="1:13" ht="15">
      <c r="A6" s="44"/>
      <c r="B6" s="37"/>
      <c r="C6" s="29"/>
      <c r="D6" s="35"/>
      <c r="F6" s="43"/>
      <c r="G6" s="101"/>
      <c r="H6" s="41"/>
      <c r="I6" s="41"/>
      <c r="J6" s="41"/>
      <c r="K6" s="41"/>
      <c r="L6" s="41"/>
      <c r="M6" s="41"/>
    </row>
    <row r="7" spans="1:13" ht="15">
      <c r="A7" s="326" t="s">
        <v>31</v>
      </c>
      <c r="B7" s="326"/>
      <c r="C7" s="325">
        <f>'Exogenous Costs'!A24</f>
        <v>9.87654321E8</v>
      </c>
      <c r="D7" s="325"/>
      <c r="E7" s="325"/>
      <c r="F7" s="43"/>
      <c r="G7" s="101"/>
      <c r="H7" s="41"/>
      <c r="I7" s="41"/>
      <c r="J7" s="41"/>
      <c r="K7" s="41"/>
      <c r="L7" s="41"/>
      <c r="M7" s="41"/>
    </row>
    <row r="8" spans="1:13" ht="15">
      <c r="A8" s="326" t="s">
        <v>32</v>
      </c>
      <c r="B8" s="326"/>
      <c r="C8" s="215" t="str">
        <f>'Exogenous Costs'!B24</f>
        <v>Test Holding Company</v>
      </c>
      <c r="E8" s="37"/>
      <c r="F8" s="43"/>
      <c r="G8" s="101"/>
      <c r="H8" s="41"/>
      <c r="I8" s="41"/>
      <c r="J8" s="41"/>
      <c r="K8" s="41"/>
      <c r="L8" s="41"/>
      <c r="M8" s="41"/>
    </row>
    <row r="9" spans="1:13" ht="30">
      <c r="A9" s="326" t="s">
        <v>33</v>
      </c>
      <c r="B9" s="326"/>
      <c r="C9" s="215" t="s">
        <v>123</v>
      </c>
      <c r="E9" s="37"/>
      <c r="F9" s="43"/>
      <c r="G9" s="101"/>
      <c r="H9" s="41"/>
      <c r="I9" s="41"/>
      <c r="J9" s="41"/>
      <c r="K9" s="41"/>
      <c r="L9" s="41"/>
      <c r="M9" s="41"/>
    </row>
    <row r="10" spans="1:13" ht="15">
      <c r="A10" s="330" t="s">
        <v>161</v>
      </c>
      <c r="B10" s="330"/>
      <c r="C10" s="215">
        <f>'Factor Dev'!R20</f>
        <v>100.18263575275623</v>
      </c>
      <c r="E10" s="217"/>
      <c r="F10" s="43"/>
      <c r="G10" s="41"/>
      <c r="H10" s="41"/>
      <c r="I10" s="41"/>
      <c r="J10" s="41"/>
      <c r="K10" s="41"/>
      <c r="L10" s="41"/>
      <c r="M10" s="41"/>
    </row>
    <row r="11" spans="2:13" ht="15">
      <c r="B11" s="44"/>
      <c r="D11" s="29"/>
      <c r="G11" s="43"/>
      <c r="H11" s="41"/>
      <c r="I11" s="41"/>
      <c r="J11" s="76"/>
      <c r="K11" s="76"/>
      <c r="L11" s="41"/>
      <c r="M11" s="41"/>
    </row>
    <row r="12" spans="2:16" ht="15" customHeight="1" thickBot="1">
      <c r="B12" s="23"/>
      <c r="D12" s="29"/>
      <c r="F12" s="317"/>
      <c r="G12" s="317"/>
      <c r="H12" s="317"/>
      <c r="I12" s="317"/>
      <c r="J12" s="317"/>
      <c r="K12" s="317"/>
      <c r="L12" s="98"/>
      <c r="N12" s="11"/>
      <c r="O12" s="11"/>
      <c r="P12" s="11"/>
    </row>
    <row r="13" spans="1:16" ht="15.75" thickBot="1">
      <c r="A13" s="243"/>
      <c r="B13" s="313" t="s">
        <v>30</v>
      </c>
      <c r="C13" s="313"/>
      <c r="D13" s="313"/>
      <c r="E13" s="313"/>
      <c r="F13" s="314"/>
      <c r="G13" s="324" t="s">
        <v>81</v>
      </c>
      <c r="H13" s="314"/>
      <c r="I13" s="324" t="s">
        <v>82</v>
      </c>
      <c r="J13" s="314"/>
      <c r="K13" s="324" t="s">
        <v>109</v>
      </c>
      <c r="L13" s="314"/>
      <c r="N13" s="11"/>
      <c r="O13" s="11"/>
      <c r="P13" s="11"/>
    </row>
    <row r="14" spans="1:13" ht="100.15" customHeight="1">
      <c r="A14" s="244"/>
      <c r="B14" s="183" t="s">
        <v>9</v>
      </c>
      <c r="C14" s="274" t="s">
        <v>162</v>
      </c>
      <c r="D14" s="275" t="s">
        <v>163</v>
      </c>
      <c r="E14" s="274" t="s">
        <v>164</v>
      </c>
      <c r="F14" s="226" t="s">
        <v>165</v>
      </c>
      <c r="G14" s="225" t="s">
        <v>35</v>
      </c>
      <c r="H14" s="226" t="s">
        <v>36</v>
      </c>
      <c r="I14" s="225" t="s">
        <v>35</v>
      </c>
      <c r="J14" s="226" t="s">
        <v>36</v>
      </c>
      <c r="K14" s="225" t="s">
        <v>35</v>
      </c>
      <c r="L14" s="226" t="s">
        <v>36</v>
      </c>
      <c r="M14" s="41"/>
    </row>
    <row r="15" spans="1:13" ht="15">
      <c r="A15" s="244"/>
      <c r="B15" s="242"/>
      <c r="C15" s="223" t="str">
        <f>"Col "&amp;COLUMN(C15)+46</f>
        <v>Col 49</v>
      </c>
      <c r="D15" s="80" t="str">
        <f>"Col "&amp;COLUMN(D15)+46</f>
        <v>Col 50</v>
      </c>
      <c r="E15" s="237" t="str">
        <f t="shared" si="0" ref="E15:L15">"Col "&amp;COLUMN(E15)+46</f>
        <v>Col 51</v>
      </c>
      <c r="F15" s="80" t="str">
        <f>"Col "&amp;COLUMN(F15)+46</f>
        <v>Col 52</v>
      </c>
      <c r="G15" s="20" t="str">
        <f>"Col "&amp;COLUMN(G15)+46</f>
        <v>Col 53</v>
      </c>
      <c r="H15" s="19" t="str">
        <f>"Col "&amp;COLUMN(H15)+46</f>
        <v>Col 54</v>
      </c>
      <c r="I15" s="20" t="str">
        <f>"Col "&amp;COLUMN(I15)+46</f>
        <v>Col 55</v>
      </c>
      <c r="J15" s="19" t="str">
        <f>"Col "&amp;COLUMN(J15)+46</f>
        <v>Col 56</v>
      </c>
      <c r="K15" s="20" t="str">
        <f>"Col "&amp;COLUMN(K15)+46</f>
        <v>Col 57</v>
      </c>
      <c r="L15" s="19" t="str">
        <f>"Col "&amp;COLUMN(L15)+46</f>
        <v>Col 58</v>
      </c>
      <c r="M15" s="41"/>
    </row>
    <row r="16" spans="1:13" ht="123.6" customHeight="1">
      <c r="A16" s="160" t="s">
        <v>133</v>
      </c>
      <c r="B16" s="242"/>
      <c r="C16" s="240" t="s">
        <v>6</v>
      </c>
      <c r="D16" s="70" t="str">
        <f>"("&amp;L15&amp;"  / "&amp;K15&amp;") X Col 49"</f>
        <v>(Col 58  / Col 57) X Col 49</v>
      </c>
      <c r="E16" s="277" t="s">
        <v>166</v>
      </c>
      <c r="F16" s="166" t="str">
        <f>D15&amp;" Must Be Less Than Or Equal To "&amp;E15&amp;" To Pass"</f>
        <v>Col 50 Must Be Less Than Or Equal To Col 51 To Pass</v>
      </c>
      <c r="G16" s="8" t="s">
        <v>74</v>
      </c>
      <c r="H16" s="9" t="s">
        <v>75</v>
      </c>
      <c r="I16" s="8" t="s">
        <v>76</v>
      </c>
      <c r="J16" s="9" t="s">
        <v>77</v>
      </c>
      <c r="K16" s="8" t="str">
        <f>"Sum("&amp;G15&amp;" + "&amp;I15&amp;")"</f>
        <v>Sum(Col 53 + Col 55)</v>
      </c>
      <c r="L16" s="9" t="str">
        <f>"Sum("&amp;H15&amp;" + "&amp;J15&amp;")"</f>
        <v>Sum(Col 54 + Col 56)</v>
      </c>
      <c r="M16" s="41"/>
    </row>
    <row r="17" spans="1:13" ht="15">
      <c r="A17" s="223">
        <v>1</v>
      </c>
      <c r="B17" s="218" t="s">
        <v>93</v>
      </c>
      <c r="C17" s="241">
        <v>100</v>
      </c>
      <c r="D17" s="278">
        <f>(L17/K17)*C17</f>
        <v>102.35560553924954</v>
      </c>
      <c r="E17" s="238">
        <f>C17*($C$10/'Factor Dev'!$Q$20)*1.05</f>
        <v>105.19176754039404</v>
      </c>
      <c r="F17" s="201" t="str">
        <f t="shared" si="1" ref="F17:F23">IF(D17&lt;=E17,"Pass","Fail")</f>
        <v>Pass</v>
      </c>
      <c r="G17" s="95">
        <f t="shared" si="2" ref="G17:J23">SUM(C32,C47,C62,C77)</f>
        <v>137592.3</v>
      </c>
      <c r="H17" s="96">
        <f>SUM(D32,D47,D62,D77)</f>
        <v>140833.26</v>
      </c>
      <c r="I17" s="95">
        <f>SUM(E32,E47,E62,E77)</f>
        <v>297580.73000000004</v>
      </c>
      <c r="J17" s="96">
        <f>SUM(F32,F47,F62,F77)</f>
        <v>304590.73000000004</v>
      </c>
      <c r="K17" s="95">
        <f>SUM(G17,I17)</f>
        <v>435173.03</v>
      </c>
      <c r="L17" s="96">
        <f>SUM(H17,J17)</f>
        <v>445423.99000000005</v>
      </c>
      <c r="M17" s="41"/>
    </row>
    <row r="18" spans="1:13" ht="15">
      <c r="A18" s="223">
        <v>2</v>
      </c>
      <c r="B18" s="218" t="s">
        <v>56</v>
      </c>
      <c r="C18" s="241">
        <v>100</v>
      </c>
      <c r="D18" s="278">
        <f t="shared" si="3" ref="D18:D23">(L18/K18)*C18</f>
        <v>102.35568611767403</v>
      </c>
      <c r="E18" s="238">
        <f>C18*($C$10/'Factor Dev'!$Q$20)*1.05</f>
        <v>105.19176754039404</v>
      </c>
      <c r="F18" s="201" t="str">
        <f>IF(D18&lt;=E18,"Pass","Fail")</f>
        <v>Pass</v>
      </c>
      <c r="G18" s="95">
        <f>SUM(C33,C48,C63,C78)</f>
        <v>91692</v>
      </c>
      <c r="H18" s="96">
        <f>SUM(D33,D48,D63,D78)</f>
        <v>93852</v>
      </c>
      <c r="I18" s="95">
        <f>SUM(E33,E48,E63,E78)</f>
        <v>95090.10</v>
      </c>
      <c r="J18" s="96">
        <f>SUM(F33,F48,F63,F78)</f>
        <v>97330.10</v>
      </c>
      <c r="K18" s="95">
        <f t="shared" si="4" ref="K18:K22">SUM(G18,I18)</f>
        <v>186782.10</v>
      </c>
      <c r="L18" s="96">
        <f t="shared" si="5" ref="L18:L22">SUM(H18,J18)</f>
        <v>191182.10</v>
      </c>
      <c r="M18" s="41"/>
    </row>
    <row r="19" spans="1:13" ht="15">
      <c r="A19" s="223">
        <v>3</v>
      </c>
      <c r="B19" s="218" t="s">
        <v>12</v>
      </c>
      <c r="C19" s="241">
        <v>100</v>
      </c>
      <c r="D19" s="278">
        <f>(L19/K19)*C19</f>
        <v>102.65388824446784</v>
      </c>
      <c r="E19" s="238">
        <f>C19*($C$10/'Factor Dev'!$Q$20)*1.05</f>
        <v>105.19176754039404</v>
      </c>
      <c r="F19" s="201" t="str">
        <f>IF(D19&lt;=E19,"Pass","Fail")</f>
        <v>Pass</v>
      </c>
      <c r="G19" s="95">
        <f>SUM(C34,C49,C64,C79)</f>
        <v>114615</v>
      </c>
      <c r="H19" s="96">
        <f>SUM(D34,D49,D64,D79)</f>
        <v>117315</v>
      </c>
      <c r="I19" s="95">
        <f>SUM(E34,E49,E64,E79)</f>
        <v>86599.20</v>
      </c>
      <c r="J19" s="96">
        <f>SUM(F34,F49,F64,F79)</f>
        <v>89239.20</v>
      </c>
      <c r="K19" s="95">
        <f>SUM(G19,I19)</f>
        <v>201214.20</v>
      </c>
      <c r="L19" s="96">
        <f>SUM(H19,J19)</f>
        <v>206554.20</v>
      </c>
      <c r="M19" s="41"/>
    </row>
    <row r="20" spans="1:13" ht="15">
      <c r="A20" s="223">
        <v>4</v>
      </c>
      <c r="B20" s="218" t="s">
        <v>13</v>
      </c>
      <c r="C20" s="241">
        <v>100</v>
      </c>
      <c r="D20" s="278">
        <f>(L20/K20)*C20</f>
        <v>102.35569608716075</v>
      </c>
      <c r="E20" s="238">
        <f>C20*($C$10/'Factor Dev'!$Q$20)*1.05</f>
        <v>105.19176754039404</v>
      </c>
      <c r="F20" s="201" t="str">
        <f>IF(D20&lt;=E20,"Pass","Fail")</f>
        <v>Pass</v>
      </c>
      <c r="G20" s="95">
        <f>SUM(C35,C50,C65,C80)</f>
        <v>137538</v>
      </c>
      <c r="H20" s="96">
        <f>SUM(D35,D50,D65,D80)</f>
        <v>140778</v>
      </c>
      <c r="I20" s="95">
        <f>SUM(E35,E50,E65,E80)</f>
        <v>76411.50</v>
      </c>
      <c r="J20" s="96">
        <f>SUM(F35,F50,F65,F80)</f>
        <v>78211.50</v>
      </c>
      <c r="K20" s="95">
        <f>SUM(G20,I20)</f>
        <v>213949.50</v>
      </c>
      <c r="L20" s="96">
        <f>SUM(H20,J20)</f>
        <v>218989.50</v>
      </c>
      <c r="M20" s="41"/>
    </row>
    <row r="21" spans="1:13" ht="15">
      <c r="A21" s="223">
        <v>5</v>
      </c>
      <c r="B21" s="218" t="s">
        <v>72</v>
      </c>
      <c r="C21" s="241">
        <v>100</v>
      </c>
      <c r="D21" s="278">
        <f>(L21/K21)*C21</f>
        <v>102.44942629843416</v>
      </c>
      <c r="E21" s="238">
        <f>C21*($C$10/'Factor Dev'!$Q$20)*1.05</f>
        <v>105.19176754039404</v>
      </c>
      <c r="F21" s="201" t="str">
        <f>IF(D21&lt;=E21,"Pass","Fail")</f>
        <v>Pass</v>
      </c>
      <c r="G21" s="95">
        <f>SUM(C36,C51,C66,C81)</f>
        <v>412614</v>
      </c>
      <c r="H21" s="96">
        <f>SUM(D36,D51,D66,D81)</f>
        <v>422334</v>
      </c>
      <c r="I21" s="95">
        <f>SUM(E36,E51,E66,E81)</f>
        <v>227535.90</v>
      </c>
      <c r="J21" s="96">
        <f>SUM(F36,F51,F66,F81)</f>
        <v>233495.90</v>
      </c>
      <c r="K21" s="95">
        <f>SUM(G21,I21)</f>
        <v>640149.90</v>
      </c>
      <c r="L21" s="96">
        <f>SUM(H21,J21)</f>
        <v>655829.90</v>
      </c>
      <c r="M21" s="41"/>
    </row>
    <row r="22" spans="1:13" ht="15">
      <c r="A22" s="223">
        <v>6</v>
      </c>
      <c r="B22" s="219" t="s">
        <v>37</v>
      </c>
      <c r="C22" s="241">
        <v>100</v>
      </c>
      <c r="D22" s="278">
        <f>(L22/K22)*C22</f>
        <v>102.35570355519197</v>
      </c>
      <c r="E22" s="238">
        <f>C22*($C$10/'Factor Dev'!$Q$20)*1.05</f>
        <v>105.19176754039404</v>
      </c>
      <c r="F22" s="201" t="str">
        <f>IF(D22&lt;=E22,"Pass","Fail")</f>
        <v>Pass</v>
      </c>
      <c r="G22" s="95">
        <f>SUM(C37,C52,C67,C82)</f>
        <v>183384</v>
      </c>
      <c r="H22" s="96">
        <f>SUM(D37,D52,D67,D82)</f>
        <v>187704</v>
      </c>
      <c r="I22" s="95">
        <f>SUM(E37,E52,E67,E82)</f>
        <v>50940.899999999994</v>
      </c>
      <c r="J22" s="96">
        <f>SUM(F37,F52,F67,F82)</f>
        <v>52140.899999999994</v>
      </c>
      <c r="K22" s="95">
        <f>SUM(G22,I22)</f>
        <v>234324.90</v>
      </c>
      <c r="L22" s="96">
        <f>SUM(H22,J22)</f>
        <v>239844.90</v>
      </c>
      <c r="M22" s="41"/>
    </row>
    <row r="23" spans="1:13" ht="15.75" thickBot="1">
      <c r="A23" s="245"/>
      <c r="B23" s="220" t="s">
        <v>143</v>
      </c>
      <c r="C23" s="276">
        <v>100</v>
      </c>
      <c r="D23" s="279">
        <f>(L23/K23)*C23</f>
        <v>102.38048534584445</v>
      </c>
      <c r="E23" s="239">
        <f>C10</f>
        <v>100.18263575275623</v>
      </c>
      <c r="F23" s="202" t="str">
        <f>IF(D23&lt;=E23,"Pass","Fail")</f>
        <v>Fail</v>
      </c>
      <c r="G23" s="171">
        <f>SUM(C38,C53,C68,C83)</f>
        <v>1016347.80</v>
      </c>
      <c r="H23" s="172">
        <f>SUM(D38,D53,D68,D83)</f>
        <v>1040108.76</v>
      </c>
      <c r="I23" s="171">
        <f>SUM(E38,E53,E68,E83)</f>
        <v>672675.8300000001</v>
      </c>
      <c r="J23" s="172">
        <f>SUM(F38,F53,F68,F83)</f>
        <v>689121.8300000001</v>
      </c>
      <c r="K23" s="15">
        <f>SUM(G23,I23)</f>
        <v>1689023.6300000001</v>
      </c>
      <c r="L23" s="16">
        <f>SUM(H23,J23)</f>
        <v>1729230.59</v>
      </c>
      <c r="M23" s="41"/>
    </row>
    <row r="24" spans="1:12" s="101" customFormat="1" ht="15">
      <c r="A24" s="100"/>
      <c r="B24" s="246"/>
      <c r="C24" s="247"/>
      <c r="D24" s="247"/>
      <c r="E24" s="247"/>
      <c r="F24" s="248"/>
      <c r="G24" s="249"/>
      <c r="H24" s="249"/>
      <c r="I24" s="249"/>
      <c r="J24" s="249"/>
      <c r="K24" s="94"/>
      <c r="L24" s="94"/>
    </row>
    <row r="25" spans="1:12" s="101" customFormat="1" ht="15">
      <c r="A25" s="100"/>
      <c r="B25" s="246"/>
      <c r="C25" s="247"/>
      <c r="D25" s="247"/>
      <c r="E25" s="247"/>
      <c r="F25" s="248"/>
      <c r="G25" s="249"/>
      <c r="H25" s="249"/>
      <c r="I25" s="249"/>
      <c r="J25" s="249"/>
      <c r="K25" s="94"/>
      <c r="L25" s="94"/>
    </row>
    <row r="26" spans="2:16" ht="15.75" thickBot="1">
      <c r="B26" s="174"/>
      <c r="C26" s="75"/>
      <c r="D26" s="103"/>
      <c r="E26" s="104"/>
      <c r="F26" s="104"/>
      <c r="G26" s="43"/>
      <c r="H26" s="17"/>
      <c r="I26" s="104"/>
      <c r="J26" s="98"/>
      <c r="K26" s="98"/>
      <c r="L26" s="98"/>
      <c r="N26" s="11"/>
      <c r="O26" s="11"/>
      <c r="P26" s="11"/>
    </row>
    <row r="27" spans="1:15" ht="15.75" thickBot="1">
      <c r="A27" s="327"/>
      <c r="B27" s="318" t="s">
        <v>119</v>
      </c>
      <c r="C27" s="319"/>
      <c r="D27" s="319"/>
      <c r="E27" s="319"/>
      <c r="F27" s="319"/>
      <c r="G27" s="319"/>
      <c r="H27" s="320"/>
      <c r="M27" s="39"/>
      <c r="N27" s="39"/>
      <c r="O27" s="40"/>
    </row>
    <row r="28" spans="1:14" ht="15">
      <c r="A28" s="328"/>
      <c r="B28" s="175" t="s">
        <v>118</v>
      </c>
      <c r="C28" s="321" t="s">
        <v>81</v>
      </c>
      <c r="D28" s="323"/>
      <c r="E28" s="321" t="s">
        <v>82</v>
      </c>
      <c r="F28" s="322"/>
      <c r="G28" s="315" t="s">
        <v>109</v>
      </c>
      <c r="H28" s="316"/>
      <c r="I28" s="41"/>
      <c r="M28" s="39"/>
      <c r="N28" s="40"/>
    </row>
    <row r="29" spans="1:13" ht="100.15" customHeight="1">
      <c r="A29" s="328"/>
      <c r="B29" s="8" t="s">
        <v>9</v>
      </c>
      <c r="C29" s="85" t="s">
        <v>35</v>
      </c>
      <c r="D29" s="73" t="s">
        <v>36</v>
      </c>
      <c r="E29" s="85" t="s">
        <v>35</v>
      </c>
      <c r="F29" s="177" t="s">
        <v>36</v>
      </c>
      <c r="G29" s="85" t="s">
        <v>35</v>
      </c>
      <c r="H29" s="73" t="s">
        <v>36</v>
      </c>
      <c r="I29" s="39"/>
      <c r="K29" s="41"/>
      <c r="L29" s="41"/>
      <c r="M29" s="41"/>
    </row>
    <row r="30" spans="1:13" ht="15.75" thickBot="1">
      <c r="A30" s="329"/>
      <c r="B30" s="170"/>
      <c r="C30" s="20" t="str">
        <f t="shared" si="6" ref="C30:H30">"Col "&amp;COLUMN(C30)+56</f>
        <v>Col 59</v>
      </c>
      <c r="D30" s="19" t="str">
        <f>"Col "&amp;COLUMN(D30)+56</f>
        <v>Col 60</v>
      </c>
      <c r="E30" s="20" t="str">
        <f>"Col "&amp;COLUMN(E30)+56</f>
        <v>Col 61</v>
      </c>
      <c r="F30" s="19" t="str">
        <f>"Col "&amp;COLUMN(F30)+56</f>
        <v>Col 62</v>
      </c>
      <c r="G30" s="20" t="str">
        <f>"Col "&amp;COLUMN(G30)+56</f>
        <v>Col 63</v>
      </c>
      <c r="H30" s="19" t="str">
        <f>"Col "&amp;COLUMN(H30)+56</f>
        <v>Col 64</v>
      </c>
      <c r="I30" s="41"/>
      <c r="K30" s="41"/>
      <c r="L30" s="41"/>
      <c r="M30" s="41"/>
    </row>
    <row r="31" spans="1:13" ht="118.15" customHeight="1" thickBot="1">
      <c r="A31" s="221" t="s">
        <v>133</v>
      </c>
      <c r="B31" s="170"/>
      <c r="C31" s="214" t="s">
        <v>124</v>
      </c>
      <c r="D31" s="10" t="s">
        <v>125</v>
      </c>
      <c r="E31" s="183" t="s">
        <v>126</v>
      </c>
      <c r="F31" s="184" t="s">
        <v>142</v>
      </c>
      <c r="G31" s="8" t="str">
        <f>"Sum("&amp;C30&amp;" + "&amp;E30&amp;")"</f>
        <v>Sum(Col 59 + Col 61)</v>
      </c>
      <c r="H31" s="9" t="str">
        <f>"Sum("&amp;D30&amp;" + "&amp;F30&amp;")"</f>
        <v>Sum(Col 60 + Col 62)</v>
      </c>
      <c r="I31" s="41"/>
      <c r="K31" s="41"/>
      <c r="L31" s="41"/>
      <c r="M31" s="41"/>
    </row>
    <row r="32" spans="1:13" ht="15">
      <c r="A32" s="222">
        <v>1</v>
      </c>
      <c r="B32" s="218" t="s">
        <v>49</v>
      </c>
      <c r="C32" s="95">
        <f>(SUMIF('Study Area 1 TRP'!$C$20:$C$74,"VG",'Study Area 1 TRP'!$L$20:$L$74)+SUMIF('Study Area 1 TRP'!$C$20:$C$74,"WATS",'Study Area 1 TRP'!$L$20:$L$74)+SUMIF('Study Area 1 TRP'!$C$20:$C$74,"METAL",'Study Area 1 TRP'!$L$20:$L$74)+SUMIF('Study Area 1 TRP'!$C$20:$C$74,"TGR",'Study Area 1 TRP'!$L$20:$L$74))*12</f>
        <v>46035.18</v>
      </c>
      <c r="D32" s="96">
        <f>(SUMIF('Study Area 1 TRP'!$C$20:$C$74,"VG",'Study Area 1 TRP'!$M$20:$M$74)+SUMIF('Study Area 1 TRP'!$C$20:$C$74,"WATS",'Study Area 1 TRP'!$M$20:$M$74)+SUMIF('Study Area 1 TRP'!$C$20:$C$74,"METAL",'Study Area 1 TRP'!$M$20:$M$74)+SUMIF('Study Area 1 TRP'!$C$20:$C$74,"TGR",'Study Area 1 TRP'!$M$20:$M$74))*12</f>
        <v>46035.18</v>
      </c>
      <c r="E32" s="95">
        <f>SUMIF('Study Area 1 TRP'!$C$90:$C$150,"VG",'Study Area 1 TRP'!$J$90:$J$150)+SUMIF('Study Area 1 TRP'!$C$90:$C$150,"WATS",'Study Area 1 TRP'!$J$90:$J$150)+SUMIF('Study Area 1 TRP'!$C$90:$C$150,"METAL",'Study Area 1 TRP'!$J$90:$J$150)+SUMIF('Study Area 1 TRP'!$C$90:$C$150,"TGR",'Study Area 1 TRP'!$J$90:$J$150)</f>
        <v>99574.34000000001</v>
      </c>
      <c r="F32" s="178">
        <f>SUMIF('Study Area 1 TRP'!$C$90:$C$150,"VG",'Study Area 1 TRP'!$K$90:$K$150)+SUMIF('Study Area 1 TRP'!$C$90:$C$150,"WATS",'Study Area 1 TRP'!$K$90:$K$150)+SUMIF('Study Area 1 TRP'!$C$90:$C$150,"METAL",'Study Area 1 TRP'!$K$90:$K$150)+SUMIF('Study Area 1 TRP'!$C$90:$C$150,"TGR",'Study Area 1 TRP'!$K$90:$K$150)</f>
        <v>99574.34000000001</v>
      </c>
      <c r="G32" s="95">
        <f>SUM(C32,E32)</f>
        <v>145609.52000000002</v>
      </c>
      <c r="H32" s="96">
        <f>SUM(D32,F32)</f>
        <v>145609.52000000002</v>
      </c>
      <c r="I32" s="41"/>
      <c r="K32" s="41"/>
      <c r="L32" s="41"/>
      <c r="M32" s="41"/>
    </row>
    <row r="33" spans="1:13" ht="15">
      <c r="A33" s="223">
        <v>2</v>
      </c>
      <c r="B33" s="218" t="s">
        <v>56</v>
      </c>
      <c r="C33" s="95">
        <f>(SUMIF('Study Area 1 TRP'!$C$20:$C$74,"AV",'Study Area 1 TRP'!$L$20:$L$74))*12</f>
        <v>30685.50</v>
      </c>
      <c r="D33" s="96">
        <f>(SUMIF('Study Area 1 TRP'!$C$20:$C$74,"AV",'Study Area 1 TRP'!$M$20:$M$74))*12</f>
        <v>30685.50</v>
      </c>
      <c r="E33" s="95">
        <f>SUMIF('Study Area 1 TRP'!$C$90:$C$150,"AV",'Study Area 1 TRP'!$J$90:$J$150)</f>
        <v>31818.50</v>
      </c>
      <c r="F33" s="178">
        <f>SUMIF('Study Area 1 TRP'!$C$90:$C$150,"AV",'Study Area 1 TRP'!$K$90:$K$150)</f>
        <v>31818.50</v>
      </c>
      <c r="G33" s="95">
        <f t="shared" si="7" ref="G33:G37">SUM(C33,E33)</f>
        <v>62504</v>
      </c>
      <c r="H33" s="96">
        <f t="shared" si="8" ref="H33:H37">SUM(D33,F33)</f>
        <v>62504</v>
      </c>
      <c r="I33" s="41"/>
      <c r="K33" s="41"/>
      <c r="L33" s="41"/>
      <c r="M33" s="41"/>
    </row>
    <row r="34" spans="1:13" ht="15">
      <c r="A34" s="223">
        <v>3</v>
      </c>
      <c r="B34" s="218" t="s">
        <v>12</v>
      </c>
      <c r="C34" s="95">
        <f>(SUMIF('Study Area 1 TRP'!$C$20:$C$74,"DS1",'Study Area 1 TRP'!$L$20:$L$74))*12</f>
        <v>38353.50</v>
      </c>
      <c r="D34" s="96">
        <f>(SUMIF('Study Area 1 TRP'!$C$20:$C$74,"DS1",'Study Area 1 TRP'!$M$20:$M$74))*12</f>
        <v>38353.50</v>
      </c>
      <c r="E34" s="95">
        <f>SUMIF('Study Area 1 TRP'!$C$90:$C$150,"DS1",'Study Area 1 TRP'!$J$90:$J$150)</f>
        <v>28977</v>
      </c>
      <c r="F34" s="178">
        <f>SUMIF('Study Area 1 TRP'!$C$90:$C$150,"DS1",'Study Area 1 TRP'!$K$90:$K$150)</f>
        <v>28977</v>
      </c>
      <c r="G34" s="95">
        <f>SUM(C34,E34)</f>
        <v>67330.50</v>
      </c>
      <c r="H34" s="96">
        <f>SUM(D34,F34)</f>
        <v>67330.50</v>
      </c>
      <c r="I34" s="41"/>
      <c r="K34" s="41"/>
      <c r="L34" s="41"/>
      <c r="M34" s="41"/>
    </row>
    <row r="35" spans="1:13" ht="15">
      <c r="A35" s="223">
        <v>4</v>
      </c>
      <c r="B35" s="218" t="s">
        <v>13</v>
      </c>
      <c r="C35" s="95">
        <f>(SUMIF('Study Area 1 TRP'!$C$20:$C$74,"DS3",'Study Area 1 TRP'!$L$20:$L$74))*12</f>
        <v>46021.50000000001</v>
      </c>
      <c r="D35" s="96">
        <f>(SUMIF('Study Area 1 TRP'!$C$20:$C$74,"DS3",'Study Area 1 TRP'!$M$20:$M$74))*12</f>
        <v>46021.50000000001</v>
      </c>
      <c r="E35" s="95">
        <f>SUMIF('Study Area 1 TRP'!$C$90:$C$150,"DS3",'Study Area 1 TRP'!$J$90:$J$150)</f>
        <v>25568</v>
      </c>
      <c r="F35" s="178">
        <f>SUMIF('Study Area 1 TRP'!$C$90:$C$150,"DS3",'Study Area 1 TRP'!$K$90:$K$150)</f>
        <v>25568</v>
      </c>
      <c r="G35" s="95">
        <f>SUM(C35,E35)</f>
        <v>71589.50</v>
      </c>
      <c r="H35" s="96">
        <f>SUM(D35,F35)</f>
        <v>71589.50</v>
      </c>
      <c r="I35" s="41"/>
      <c r="K35" s="41"/>
      <c r="L35" s="41"/>
      <c r="M35" s="41"/>
    </row>
    <row r="36" spans="1:13" ht="15">
      <c r="A36" s="223">
        <v>5</v>
      </c>
      <c r="B36" s="218" t="s">
        <v>72</v>
      </c>
      <c r="C36" s="95">
        <f>(SUMIF('Study Area 1 TRP'!$C$20:$C$74,"DS1",'Study Area 1 TRP'!$L$20:$L$74)+SUMIF('Study Area 1 TRP'!$C$20:$C$74,"DS3",'Study Area 1 TRP'!$L$20:$L$74)+SUMIF('Study Area 1 TRP'!$C$20:$C$74,"DDS",'Study Area 1 TRP'!$L$20:$L$74))*12</f>
        <v>138064.50</v>
      </c>
      <c r="D36" s="96">
        <f>(SUMIF('Study Area 1 TRP'!$C$20:$C$74,"DS1",'Study Area 1 TRP'!$M$20:$M$74)+SUMIF('Study Area 1 TRP'!$C$20:$C$74,"DS3",'Study Area 1 TRP'!$M$20:$M$74)+SUMIF('Study Area 1 TRP'!$C$20:$C$74,"DDS",'Study Area 1 TRP'!$M$20:$M$74))*12</f>
        <v>138064.50</v>
      </c>
      <c r="E36" s="95">
        <f>SUMIF('Study Area 1 TRP'!$C$90:$C$150,"DS1",'Study Area 1 TRP'!$J$90:$J$150)+SUMIF('Study Area 1 TRP'!$C$90:$C$150,"DS3",'Study Area 1 TRP'!$J$90:$J$150)+SUMIF('Study Area 1 TRP'!$C$90:$C$150,"DDS",'Study Area 1 TRP'!$J$90:$J$150)</f>
        <v>76135.80</v>
      </c>
      <c r="F36" s="178">
        <f>SUMIF('Study Area 1 TRP'!$C$90:$C$150,"DS1",'Study Area 1 TRP'!$K$90:$K$150)+SUMIF('Study Area 1 TRP'!$C$90:$C$150,"DS3",'Study Area 1 TRP'!$K$90:$K$150)+SUMIF('Study Area 1 TRP'!$C$90:$C$150,"DDS",'Study Area 1 TRP'!$K$90:$K$150)</f>
        <v>76135.80</v>
      </c>
      <c r="G36" s="95">
        <f>SUM(C36,E36)</f>
        <v>214200.30</v>
      </c>
      <c r="H36" s="96">
        <f>SUM(D36,F36)</f>
        <v>214200.30</v>
      </c>
      <c r="I36" s="41"/>
      <c r="K36" s="41"/>
      <c r="L36" s="41"/>
      <c r="M36" s="41"/>
    </row>
    <row r="37" spans="1:13" ht="15">
      <c r="A37" s="223">
        <v>6</v>
      </c>
      <c r="B37" s="219" t="s">
        <v>37</v>
      </c>
      <c r="C37" s="95">
        <f>(SUMIF('Study Area 1 TRP'!$C$20:$C$74,"WIDE",'Study Area 1 TRP'!$L$20:$L$74))*12</f>
        <v>61357.50</v>
      </c>
      <c r="D37" s="96">
        <f>(SUMIF('Study Area 1 TRP'!$C$20:$C$74,"WIDE",'Study Area 1 TRP'!$M$20:$M$74))*12</f>
        <v>61357.50</v>
      </c>
      <c r="E37" s="95">
        <f>SUMIF('Study Area 1 TRP'!$C$90:$C$150,"WIDE",'Study Area 1 TRP'!$J$90:$J$150)</f>
        <v>17045.399999999998</v>
      </c>
      <c r="F37" s="178">
        <f>SUMIF('Study Area 1 TRP'!$C$90:$C$150,"WIDE",'Study Area 1 TRP'!$K$90:$K$150)</f>
        <v>17045.399999999998</v>
      </c>
      <c r="G37" s="95">
        <f>SUM(C37,E37)</f>
        <v>78402.9</v>
      </c>
      <c r="H37" s="96">
        <f>SUM(D37,F37)</f>
        <v>78402.9</v>
      </c>
      <c r="I37" s="41"/>
      <c r="K37" s="41"/>
      <c r="L37" s="41"/>
      <c r="M37" s="41"/>
    </row>
    <row r="38" spans="1:13" ht="15.75" thickBot="1">
      <c r="A38" s="224">
        <v>7</v>
      </c>
      <c r="B38" s="220" t="s">
        <v>134</v>
      </c>
      <c r="C38" s="15">
        <f>SUM(C32,C33,C36,C37,(SUMIF('Study Area 1 TRP'!$C$20:$C$82,"MISC",'Study Area 1 TRP'!$L$20:$L$82))*12)</f>
        <v>345181.68</v>
      </c>
      <c r="D38" s="16">
        <f>SUM(D32,D33,D36,D37,(SUMIF('Study Area 1 TRP'!$C$20:$C$82,"MISC",'Study Area 1 TRP'!$M$20:$M$82))*12)</f>
        <v>345181.68</v>
      </c>
      <c r="E38" s="15">
        <f>SUM(E32,E33,E36,E37,SUMIF('Study Area 1 TRP'!$C$90:$C$150,"MISC",'Study Area 1 TRP'!$J$90:$J$150))</f>
        <v>225085.39</v>
      </c>
      <c r="F38" s="179">
        <f>SUM(F32,F33,F36,F37,SUMIF('Study Area 1 TRP'!$C$90:$C$150,"MISC",'Study Area 1 TRP'!$K$90:$K$150))</f>
        <v>225085.39</v>
      </c>
      <c r="G38" s="15">
        <f>SUM(C38,E38)</f>
        <v>570267.0700000001</v>
      </c>
      <c r="H38" s="16">
        <f>SUM(D38,F38)</f>
        <v>570267.0700000001</v>
      </c>
      <c r="I38" s="41"/>
      <c r="J38" s="41"/>
      <c r="K38" s="41"/>
      <c r="L38" s="41"/>
      <c r="M38" s="41"/>
    </row>
    <row r="39" spans="1:8" s="101" customFormat="1" ht="15">
      <c r="A39" s="250"/>
      <c r="B39" s="246"/>
      <c r="C39" s="94"/>
      <c r="D39" s="94"/>
      <c r="E39" s="94"/>
      <c r="F39" s="94"/>
      <c r="G39" s="94"/>
      <c r="H39" s="94"/>
    </row>
    <row r="40" spans="1:8" s="101" customFormat="1" ht="15">
      <c r="A40" s="250"/>
      <c r="B40" s="246"/>
      <c r="C40" s="94"/>
      <c r="D40" s="94"/>
      <c r="E40" s="94"/>
      <c r="F40" s="94"/>
      <c r="G40" s="94"/>
      <c r="H40" s="94"/>
    </row>
    <row r="41" ht="15.75" thickBot="1"/>
    <row r="42" spans="1:8" ht="15.75" thickBot="1">
      <c r="A42" s="327"/>
      <c r="B42" s="318" t="s">
        <v>120</v>
      </c>
      <c r="C42" s="319"/>
      <c r="D42" s="319"/>
      <c r="E42" s="319"/>
      <c r="F42" s="319"/>
      <c r="G42" s="319"/>
      <c r="H42" s="320"/>
    </row>
    <row r="43" spans="1:14" ht="15">
      <c r="A43" s="328"/>
      <c r="B43" s="175" t="s">
        <v>118</v>
      </c>
      <c r="C43" s="321" t="s">
        <v>81</v>
      </c>
      <c r="D43" s="323"/>
      <c r="E43" s="321" t="s">
        <v>82</v>
      </c>
      <c r="F43" s="322"/>
      <c r="G43" s="315" t="s">
        <v>109</v>
      </c>
      <c r="H43" s="316"/>
      <c r="I43" s="41"/>
      <c r="J43" s="41"/>
      <c r="M43" s="39"/>
      <c r="N43" s="40"/>
    </row>
    <row r="44" spans="1:13" ht="100.15" customHeight="1">
      <c r="A44" s="328"/>
      <c r="B44" s="8" t="s">
        <v>9</v>
      </c>
      <c r="C44" s="85" t="s">
        <v>35</v>
      </c>
      <c r="D44" s="73" t="s">
        <v>36</v>
      </c>
      <c r="E44" s="85" t="s">
        <v>35</v>
      </c>
      <c r="F44" s="177" t="s">
        <v>36</v>
      </c>
      <c r="G44" s="85" t="s">
        <v>35</v>
      </c>
      <c r="H44" s="73" t="s">
        <v>36</v>
      </c>
      <c r="I44" s="39"/>
      <c r="J44" s="40"/>
      <c r="K44" s="41"/>
      <c r="L44" s="41"/>
      <c r="M44" s="41"/>
    </row>
    <row r="45" spans="1:13" ht="15.75" thickBot="1">
      <c r="A45" s="329"/>
      <c r="B45" s="170"/>
      <c r="C45" s="20" t="str">
        <f t="shared" si="9" ref="C45:H45">"Col "&amp;COLUMN(C45)+62</f>
        <v>Col 65</v>
      </c>
      <c r="D45" s="19" t="str">
        <f>"Col "&amp;COLUMN(D45)+62</f>
        <v>Col 66</v>
      </c>
      <c r="E45" s="20" t="str">
        <f>"Col "&amp;COLUMN(E45)+62</f>
        <v>Col 67</v>
      </c>
      <c r="F45" s="19" t="str">
        <f>"Col "&amp;COLUMN(F45)+62</f>
        <v>Col 68</v>
      </c>
      <c r="G45" s="20" t="str">
        <f>"Col "&amp;COLUMN(G45)+62</f>
        <v>Col 69</v>
      </c>
      <c r="H45" s="19" t="str">
        <f>"Col "&amp;COLUMN(H45)+62</f>
        <v>Col 70</v>
      </c>
      <c r="I45" s="41"/>
      <c r="J45" s="41"/>
      <c r="K45" s="41"/>
      <c r="L45" s="41"/>
      <c r="M45" s="41"/>
    </row>
    <row r="46" spans="1:13" ht="118.15" customHeight="1" thickBot="1">
      <c r="A46" s="221" t="s">
        <v>133</v>
      </c>
      <c r="B46" s="170"/>
      <c r="C46" s="214" t="s">
        <v>124</v>
      </c>
      <c r="D46" s="10" t="s">
        <v>125</v>
      </c>
      <c r="E46" s="183" t="s">
        <v>126</v>
      </c>
      <c r="F46" s="184" t="s">
        <v>142</v>
      </c>
      <c r="G46" s="8" t="str">
        <f>"Sum("&amp;C45&amp;" + "&amp;E45&amp;")"</f>
        <v>Sum(Col 65 + Col 67)</v>
      </c>
      <c r="H46" s="9" t="str">
        <f>"Sum("&amp;D45&amp;" + "&amp;F45&amp;")"</f>
        <v>Sum(Col 66 + Col 68)</v>
      </c>
      <c r="I46" s="41"/>
      <c r="J46" s="41"/>
      <c r="K46" s="41"/>
      <c r="L46" s="41"/>
      <c r="M46" s="41"/>
    </row>
    <row r="47" spans="1:13" ht="15">
      <c r="A47" s="222">
        <v>1</v>
      </c>
      <c r="B47" s="88" t="s">
        <v>49</v>
      </c>
      <c r="C47" s="95">
        <f>(SUMIF('Study Area 2 TRP'!$C$20:$C$74,"VG",'Study Area 2 TRP'!$L$20:$L$74)+SUMIF('Study Area 2 TRP'!$C$20:$C$74,"WATS",'Study Area 2 TRP'!$L$20:$L$74)+SUMIF('Study Area 2 TRP'!$C$20:$C$74,"METAL",'Study Area 2 TRP'!$L$20:$L$74)+SUMIF('Study Area 2 TRP'!$C$20:$C$74,"TGR",'Study Area 2 TRP'!$L$20:$L$74))*12</f>
        <v>48614.399999999994</v>
      </c>
      <c r="D47" s="96">
        <f>(SUMIF('Study Area 2 TRP'!$C$20:$C$74,"VG",'Study Area 2 TRP'!$M$20:$M$74)+SUMIF('Study Area 2 TRP'!$C$20:$C$74,"WATS",'Study Area 2 TRP'!$M$20:$M$74)+SUMIF('Study Area 2 TRP'!$C$20:$C$74,"METAL",'Study Area 2 TRP'!$M$20:$M$74)+SUMIF('Study Area 2 TRP'!$C$20:$C$74,"TGR",'Study Area 2 TRP'!$M$20:$M$74))*12</f>
        <v>51855.36</v>
      </c>
      <c r="E47" s="95">
        <f>SUMIF('Study Area 2 TRP'!$C$90:$C$150,"VG",'Study Area 2 TRP'!$J$90:$J$150)+SUMIF('Study Area 2 TRP'!$C$90:$C$150,"WATS",'Study Area 2 TRP'!$J$90:$J$150)+SUMIF('Study Area 2 TRP'!$C$90:$C$150,"METAL",'Study Area 2 TRP'!$J$90:$J$150)+SUMIF('Study Area 2 TRP'!$C$90:$C$150,"TGR",'Study Area 2 TRP'!$J$90:$J$150)</f>
        <v>105150</v>
      </c>
      <c r="F47" s="178">
        <f>SUMIF('Study Area 2 TRP'!$C$90:$C$150,"VG",'Study Area 2 TRP'!$K$90:$K$150)+SUMIF('Study Area 2 TRP'!$C$90:$C$150,"WATS",'Study Area 2 TRP'!$K$90:$K$150)+SUMIF('Study Area 2 TRP'!$C$90:$C$150,"METAL",'Study Area 2 TRP'!$K$90:$K$150)+SUMIF('Study Area 2 TRP'!$C$90:$C$150,"TGR",'Study Area 2 TRP'!$K$90:$K$150)</f>
        <v>112160</v>
      </c>
      <c r="G47" s="95">
        <f>SUM(C47,E47)</f>
        <v>153764.40</v>
      </c>
      <c r="H47" s="96">
        <f>SUM(D47,F47)</f>
        <v>164015.36</v>
      </c>
      <c r="I47" s="41"/>
      <c r="J47" s="41"/>
      <c r="K47" s="41"/>
      <c r="L47" s="41"/>
      <c r="M47" s="41"/>
    </row>
    <row r="48" spans="1:13" ht="15">
      <c r="A48" s="223">
        <v>2</v>
      </c>
      <c r="B48" s="88" t="s">
        <v>56</v>
      </c>
      <c r="C48" s="95">
        <f>(SUMIF('Study Area 2 TRP'!$C$20:$C$74,"AV",'Study Area 2 TRP'!$L$20:$L$74))*12</f>
        <v>32400</v>
      </c>
      <c r="D48" s="96">
        <f>(SUMIF('Study Area 2 TRP'!$C$20:$C$74,"AV",'Study Area 2 TRP'!$M$20:$M$74))*12</f>
        <v>34560</v>
      </c>
      <c r="E48" s="95">
        <f>SUMIF('Study Area 2 TRP'!$C$90:$C$150,"AV",'Study Area 2 TRP'!$J$90:$J$150)</f>
        <v>33600</v>
      </c>
      <c r="F48" s="178">
        <f>SUMIF('Study Area 2 TRP'!$C$90:$C$150,"AV",'Study Area 2 TRP'!$K$90:$K$150)</f>
        <v>35840</v>
      </c>
      <c r="G48" s="95">
        <f t="shared" si="10" ref="G48:G52">SUM(C48,E48)</f>
        <v>66000</v>
      </c>
      <c r="H48" s="96">
        <f t="shared" si="11" ref="H48:H52">SUM(D48,F48)</f>
        <v>70400</v>
      </c>
      <c r="I48" s="41"/>
      <c r="J48" s="41"/>
      <c r="K48" s="41"/>
      <c r="L48" s="41"/>
      <c r="M48" s="41"/>
    </row>
    <row r="49" spans="1:13" ht="15">
      <c r="A49" s="223">
        <v>3</v>
      </c>
      <c r="B49" s="88" t="s">
        <v>12</v>
      </c>
      <c r="C49" s="95">
        <f>(SUMIF('Study Area 2 TRP'!$C$20:$C$74,"DS1",'Study Area 2 TRP'!$L$20:$L$74))*12</f>
        <v>40500</v>
      </c>
      <c r="D49" s="96">
        <f>(SUMIF('Study Area 2 TRP'!$C$20:$C$74,"DS1",'Study Area 2 TRP'!$M$20:$M$74))*12</f>
        <v>43200</v>
      </c>
      <c r="E49" s="95">
        <f>SUMIF('Study Area 2 TRP'!$C$90:$C$150,"DS1",'Study Area 2 TRP'!$J$90:$J$150)</f>
        <v>30600</v>
      </c>
      <c r="F49" s="178">
        <f>SUMIF('Study Area 2 TRP'!$C$90:$C$150,"DS1",'Study Area 2 TRP'!$K$90:$K$150)</f>
        <v>33240</v>
      </c>
      <c r="G49" s="95">
        <f>SUM(C49,E49)</f>
        <v>71100</v>
      </c>
      <c r="H49" s="96">
        <f>SUM(D49,F49)</f>
        <v>76440</v>
      </c>
      <c r="I49" s="41"/>
      <c r="J49" s="41"/>
      <c r="K49" s="41"/>
      <c r="L49" s="41"/>
      <c r="M49" s="41"/>
    </row>
    <row r="50" spans="1:13" ht="15">
      <c r="A50" s="223">
        <v>4</v>
      </c>
      <c r="B50" s="88" t="s">
        <v>13</v>
      </c>
      <c r="C50" s="95">
        <f>(SUMIF('Study Area 2 TRP'!$C$20:$C$74,"DS3",'Study Area 2 TRP'!$L$20:$L$74))*12</f>
        <v>48600</v>
      </c>
      <c r="D50" s="96">
        <f>(SUMIF('Study Area 2 TRP'!$C$20:$C$74,"DS3",'Study Area 2 TRP'!$M$20:$M$74))*12</f>
        <v>51840</v>
      </c>
      <c r="E50" s="95">
        <f>SUMIF('Study Area 2 TRP'!$C$90:$C$150,"DS3",'Study Area 2 TRP'!$J$90:$J$150)</f>
        <v>27000</v>
      </c>
      <c r="F50" s="178">
        <f>SUMIF('Study Area 2 TRP'!$C$90:$C$150,"DS3",'Study Area 2 TRP'!$K$90:$K$150)</f>
        <v>28800</v>
      </c>
      <c r="G50" s="95">
        <f>SUM(C50,E50)</f>
        <v>75600</v>
      </c>
      <c r="H50" s="96">
        <f>SUM(D50,F50)</f>
        <v>80640</v>
      </c>
      <c r="I50" s="41"/>
      <c r="J50" s="41"/>
      <c r="K50" s="41"/>
      <c r="L50" s="41"/>
      <c r="M50" s="41"/>
    </row>
    <row r="51" spans="1:13" ht="15">
      <c r="A51" s="223">
        <v>5</v>
      </c>
      <c r="B51" s="88" t="s">
        <v>72</v>
      </c>
      <c r="C51" s="95">
        <f>(SUMIF('Study Area 2 TRP'!$C$20:$C$74,"DS1",'Study Area 2 TRP'!$L$20:$L$74)+SUMIF('Study Area 2 TRP'!$C$20:$C$74,"DS3",'Study Area 2 TRP'!$L$20:$L$74)+SUMIF('Study Area 2 TRP'!$C$20:$C$74,"DDS",'Study Area 2 TRP'!$L$20:$L$74))*12</f>
        <v>145800</v>
      </c>
      <c r="D51" s="96">
        <f>(SUMIF('Study Area 2 TRP'!$C$20:$C$74,"DS1",'Study Area 2 TRP'!$M$20:$M$74)+SUMIF('Study Area 2 TRP'!$C$20:$C$74,"DS3",'Study Area 2 TRP'!$M$20:$M$74)+SUMIF('Study Area 2 TRP'!$C$20:$C$74,"DDS",'Study Area 2 TRP'!$M$20:$M$74))*12</f>
        <v>155520</v>
      </c>
      <c r="E51" s="95">
        <f>SUMIF('Study Area 2 TRP'!$C$90:$C$150,"DS1",'Study Area 2 TRP'!$J$90:$J$150)+SUMIF('Study Area 2 TRP'!$C$90:$C$150,"DS3",'Study Area 2 TRP'!$J$90:$J$150)+SUMIF('Study Area 2 TRP'!$C$90:$C$150,"DDS",'Study Area 2 TRP'!$J$90:$J$150)</f>
        <v>80400</v>
      </c>
      <c r="F51" s="178">
        <f>SUMIF('Study Area 2 TRP'!$C$90:$C$150,"DS1",'Study Area 2 TRP'!$K$90:$K$150)+SUMIF('Study Area 2 TRP'!$C$90:$C$150,"DS3",'Study Area 2 TRP'!$K$90:$K$150)+SUMIF('Study Area 2 TRP'!$C$90:$C$150,"DDS",'Study Area 2 TRP'!$K$90:$K$150)</f>
        <v>86360</v>
      </c>
      <c r="G51" s="95">
        <f>SUM(C51,E51)</f>
        <v>226200</v>
      </c>
      <c r="H51" s="96">
        <f>SUM(D51,F51)</f>
        <v>241880</v>
      </c>
      <c r="I51" s="41"/>
      <c r="J51" s="41"/>
      <c r="K51" s="41"/>
      <c r="L51" s="41"/>
      <c r="M51" s="41"/>
    </row>
    <row r="52" spans="1:13" ht="15">
      <c r="A52" s="223">
        <v>6</v>
      </c>
      <c r="B52" s="176" t="s">
        <v>37</v>
      </c>
      <c r="C52" s="95">
        <f>(SUMIF('Study Area 2 TRP'!$C$20:$C$74,"WIDE",'Study Area 2 TRP'!$L$20:$L$74))*12</f>
        <v>64800</v>
      </c>
      <c r="D52" s="96">
        <f>(SUMIF('Study Area 2 TRP'!$C$20:$C$82,"WIDE",'Study Area 2 TRP'!$M$20:$M$82))*12</f>
        <v>69120</v>
      </c>
      <c r="E52" s="95">
        <f>SUMIF('Study Area 2 TRP'!$C$90:$C$150,"WIDE",'Study Area 2 TRP'!$J$90:$J$150)</f>
        <v>18000</v>
      </c>
      <c r="F52" s="178">
        <f>SUMIF('Study Area 2 TRP'!$C$90:$C$150,"WIDE",'Study Area 2 TRP'!$K$90:$K$150)</f>
        <v>19200</v>
      </c>
      <c r="G52" s="95">
        <f>SUM(C52,E52)</f>
        <v>82800</v>
      </c>
      <c r="H52" s="96">
        <f>SUM(D52,F52)</f>
        <v>88320</v>
      </c>
      <c r="I52" s="41"/>
      <c r="J52" s="41"/>
      <c r="K52" s="41"/>
      <c r="L52" s="41"/>
      <c r="M52" s="41"/>
    </row>
    <row r="53" spans="1:13" ht="15.75" thickBot="1">
      <c r="A53" s="224">
        <v>7</v>
      </c>
      <c r="B53" s="220" t="s">
        <v>134</v>
      </c>
      <c r="C53" s="15">
        <f>SUM(C47,C48,C51,C52,(SUMIF('Study Area 2 TRP'!$C$20:$C$82,"MISC",'Study Area 2 TRP'!$L$20:$L$82))*12)</f>
        <v>356414.40</v>
      </c>
      <c r="D53" s="16">
        <f>SUM(D47,D48,D51,D52,(SUMIF('Study Area 2 TRP'!$C$20:$C$82,"MISC",'Study Area 2 TRP'!$M$20:$M$82))*12)</f>
        <v>380175.36</v>
      </c>
      <c r="E53" s="15">
        <f>SUM(E47,E48,E51,E52,SUMIF('Study Area 2 TRP'!$C$90:$C$150,"MISC",'Study Area 2 TRP'!$J$90:$J$150))</f>
        <v>237690</v>
      </c>
      <c r="F53" s="179">
        <f>SUM(F47,F48,F51,F52,SUMIF('Study Area 2 TRP'!$C$90:$C$150,"MISC",'Study Area 2 TRP'!$K$90:$K$150))</f>
        <v>254136</v>
      </c>
      <c r="G53" s="15">
        <f>SUM(C53,E53)</f>
        <v>594104.40</v>
      </c>
      <c r="H53" s="16">
        <f>SUM(D53,F53)</f>
        <v>634311.36</v>
      </c>
      <c r="I53" s="41"/>
      <c r="J53" s="41"/>
      <c r="K53" s="41"/>
      <c r="L53" s="41"/>
      <c r="M53" s="41"/>
    </row>
    <row r="54" spans="1:8" s="101" customFormat="1" ht="15">
      <c r="A54" s="250"/>
      <c r="B54" s="246"/>
      <c r="C54" s="94"/>
      <c r="D54" s="94"/>
      <c r="E54" s="94"/>
      <c r="F54" s="94"/>
      <c r="G54" s="94"/>
      <c r="H54" s="94"/>
    </row>
    <row r="55" spans="1:8" s="101" customFormat="1" ht="15">
      <c r="A55" s="250"/>
      <c r="B55" s="246"/>
      <c r="C55" s="94"/>
      <c r="D55" s="94"/>
      <c r="E55" s="94"/>
      <c r="F55" s="94"/>
      <c r="G55" s="94"/>
      <c r="H55" s="94"/>
    </row>
    <row r="56" ht="15.75" thickBot="1"/>
    <row r="57" spans="1:8" ht="15.75" thickBot="1">
      <c r="A57" s="327"/>
      <c r="B57" s="318" t="s">
        <v>121</v>
      </c>
      <c r="C57" s="319"/>
      <c r="D57" s="319"/>
      <c r="E57" s="319"/>
      <c r="F57" s="319"/>
      <c r="G57" s="319"/>
      <c r="H57" s="320"/>
    </row>
    <row r="58" spans="1:8" ht="15">
      <c r="A58" s="328"/>
      <c r="B58" s="175" t="s">
        <v>118</v>
      </c>
      <c r="C58" s="321" t="s">
        <v>81</v>
      </c>
      <c r="D58" s="323"/>
      <c r="E58" s="321" t="s">
        <v>82</v>
      </c>
      <c r="F58" s="322"/>
      <c r="G58" s="315" t="s">
        <v>109</v>
      </c>
      <c r="H58" s="316"/>
    </row>
    <row r="59" spans="1:8" ht="30">
      <c r="A59" s="328"/>
      <c r="B59" s="8" t="s">
        <v>9</v>
      </c>
      <c r="C59" s="85" t="s">
        <v>35</v>
      </c>
      <c r="D59" s="73" t="s">
        <v>36</v>
      </c>
      <c r="E59" s="85" t="s">
        <v>35</v>
      </c>
      <c r="F59" s="177" t="s">
        <v>36</v>
      </c>
      <c r="G59" s="85" t="s">
        <v>35</v>
      </c>
      <c r="H59" s="73" t="s">
        <v>36</v>
      </c>
    </row>
    <row r="60" spans="1:8" ht="15.75" thickBot="1">
      <c r="A60" s="329"/>
      <c r="B60" s="170"/>
      <c r="C60" s="20" t="str">
        <f t="shared" si="12" ref="C60:H60">"Col "&amp;COLUMN(C60)+68</f>
        <v>Col 71</v>
      </c>
      <c r="D60" s="19" t="str">
        <f>"Col "&amp;COLUMN(D60)+68</f>
        <v>Col 72</v>
      </c>
      <c r="E60" s="20" t="str">
        <f>"Col "&amp;COLUMN(E60)+68</f>
        <v>Col 73</v>
      </c>
      <c r="F60" s="19" t="str">
        <f>"Col "&amp;COLUMN(F60)+68</f>
        <v>Col 74</v>
      </c>
      <c r="G60" s="20" t="str">
        <f>"Col "&amp;COLUMN(G60)+68</f>
        <v>Col 75</v>
      </c>
      <c r="H60" s="19" t="str">
        <f>"Col "&amp;COLUMN(H60)+68</f>
        <v>Col 76</v>
      </c>
    </row>
    <row r="61" spans="1:8" ht="75.75" thickBot="1">
      <c r="A61" s="221" t="s">
        <v>133</v>
      </c>
      <c r="B61" s="170"/>
      <c r="C61" s="169" t="s">
        <v>124</v>
      </c>
      <c r="D61" s="10" t="s">
        <v>125</v>
      </c>
      <c r="E61" s="183" t="s">
        <v>126</v>
      </c>
      <c r="F61" s="184" t="s">
        <v>142</v>
      </c>
      <c r="G61" s="8" t="str">
        <f>"Sum("&amp;C60&amp;" + "&amp;E60&amp;")"</f>
        <v>Sum(Col 71 + Col 73)</v>
      </c>
      <c r="H61" s="9" t="str">
        <f>"Sum("&amp;D60&amp;" + "&amp;F60&amp;")"</f>
        <v>Sum(Col 72 + Col 74)</v>
      </c>
    </row>
    <row r="62" spans="1:8" ht="15">
      <c r="A62" s="222">
        <v>1</v>
      </c>
      <c r="B62" s="88" t="s">
        <v>49</v>
      </c>
      <c r="C62" s="95">
        <f>(SUMIF('Study Area 3 TRP'!$C$20:$C$74,"VG",'Study Area 3 TRP'!$L$20:$L$74)+SUMIF('Study Area 3 TRP'!$C$20:$C$74,"WATS",'Study Area 3 TRP'!$L$20:$L$74)+SUMIF('Study Area 3 TRP'!$C$20:$C$74,"METAL",'Study Area 3 TRP'!$L$20:$L$74)+SUMIF('Study Area 3 TRP'!$C$20:$C$74,"TGR",'Study Area 3 TRP'!$L$20:$L$74))*12</f>
        <v>20256</v>
      </c>
      <c r="D62" s="96">
        <f>(SUMIF('Study Area 3 TRP'!$C$20:$C$74,"VG",'Study Area 3 TRP'!$M$20:$M$74)+SUMIF('Study Area 3 TRP'!$C$20:$C$74,"WATS",'Study Area 3 TRP'!$M$20:$M$74)+SUMIF('Study Area 3 TRP'!$C$20:$C$74,"METAL",'Study Area 3 TRP'!$M$20:$M$74)+SUMIF('Study Area 3 TRP'!$C$20:$C$74,"TGR",'Study Area 3 TRP'!$M$20:$M$74))*12</f>
        <v>20256</v>
      </c>
      <c r="E62" s="95">
        <f>SUMIF('Study Area 3 TRP'!$C$90:$C$150,"VG",'Study Area 3 TRP'!$J$90:$J$150)+SUMIF('Study Area 3 TRP'!$C$90:$C$150,"WATS",'Study Area 3 TRP'!$J$90:$J$150)+SUMIF('Study Area 3 TRP'!$C$90:$C$150,"METAL",'Study Area 3 TRP'!$J$90:$J$150)+SUMIF('Study Area 3 TRP'!$C$90:$C$150,"TGR",'Study Area 3 TRP'!$J$90:$J$150)</f>
        <v>43812.50</v>
      </c>
      <c r="F62" s="178">
        <f>SUMIF('Study Area 3 TRP'!$C$90:$C$150,"VG",'Study Area 3 TRP'!$K$90:$K$150)+SUMIF('Study Area 3 TRP'!$C$90:$C$150,"WATS",'Study Area 3 TRP'!$K$90:$K$150)+SUMIF('Study Area 3 TRP'!$C$90:$C$150,"METAL",'Study Area 3 TRP'!$K$90:$K$150)+SUMIF('Study Area 3 TRP'!$C$90:$C$150,"TGR",'Study Area 3 TRP'!$K$90:$K$150)</f>
        <v>43812.50</v>
      </c>
      <c r="G62" s="95">
        <f>SUM(C62,E62)</f>
        <v>64068.50</v>
      </c>
      <c r="H62" s="96">
        <f>SUM(D62,F62)</f>
        <v>64068.50</v>
      </c>
    </row>
    <row r="63" spans="1:8" ht="15">
      <c r="A63" s="223">
        <v>2</v>
      </c>
      <c r="B63" s="88" t="s">
        <v>56</v>
      </c>
      <c r="C63" s="95">
        <f>(SUMIF('Study Area 3 TRP'!$C$20:$C$74,"AV",'Study Area 3 TRP'!$L$20:$L$74))*12</f>
        <v>13500</v>
      </c>
      <c r="D63" s="96">
        <f>(SUMIF('Study Area 3 TRP'!$C$20:$C$74,"AV",'Study Area 3 TRP'!$M$20:$M$74))*12</f>
        <v>13500</v>
      </c>
      <c r="E63" s="95">
        <f>SUMIF('Study Area 3 TRP'!$C$90:$C$150,"AV",'Study Area 3 TRP'!$J$90:$J$150)</f>
        <v>14000</v>
      </c>
      <c r="F63" s="178">
        <f>SUMIF('Study Area 3 TRP'!$C$90:$C$150,"AV",'Study Area 3 TRP'!$K$90:$K$150)</f>
        <v>14000</v>
      </c>
      <c r="G63" s="95">
        <f t="shared" si="13" ref="G63:G67">SUM(C63,E63)</f>
        <v>27500</v>
      </c>
      <c r="H63" s="96">
        <f t="shared" si="14" ref="H63:H67">SUM(D63,F63)</f>
        <v>27500</v>
      </c>
    </row>
    <row r="64" spans="1:8" ht="15">
      <c r="A64" s="223">
        <v>3</v>
      </c>
      <c r="B64" s="88" t="s">
        <v>12</v>
      </c>
      <c r="C64" s="95">
        <f>(SUMIF('Study Area 3 TRP'!$C$20:$C$74,"DS1",'Study Area 3 TRP'!$L$20:$L$74))*12</f>
        <v>16875</v>
      </c>
      <c r="D64" s="96">
        <f>(SUMIF('Study Area 3 TRP'!$C$20:$C$74,"DS1",'Study Area 3 TRP'!$M$20:$M$74))*12</f>
        <v>16875</v>
      </c>
      <c r="E64" s="95">
        <f>SUMIF('Study Area 3 TRP'!$C$90:$C$150,"DS1",'Study Area 3 TRP'!$J$90:$J$150)</f>
        <v>12750</v>
      </c>
      <c r="F64" s="178">
        <f>SUMIF('Study Area 3 TRP'!$C$90:$C$150,"DS1",'Study Area 3 TRP'!$K$90:$K$150)</f>
        <v>12750</v>
      </c>
      <c r="G64" s="95">
        <f>SUM(C64,E64)</f>
        <v>29625</v>
      </c>
      <c r="H64" s="96">
        <f>SUM(D64,F64)</f>
        <v>29625</v>
      </c>
    </row>
    <row r="65" spans="1:8" ht="15">
      <c r="A65" s="223">
        <v>4</v>
      </c>
      <c r="B65" s="88" t="s">
        <v>13</v>
      </c>
      <c r="C65" s="95">
        <f>(SUMIF('Study Area 3 TRP'!$C$20:$C$74,"DS3",'Study Area 3 TRP'!$L$20:$L$74))*12</f>
        <v>20250</v>
      </c>
      <c r="D65" s="96">
        <f>(SUMIF('Study Area 3 TRP'!$C$20:$C$74,"DS3",'Study Area 3 TRP'!$M$20:$M$74))*12</f>
        <v>20250</v>
      </c>
      <c r="E65" s="95">
        <f>SUMIF('Study Area 3 TRP'!$C$90:$C$150,"DS3",'Study Area 3 TRP'!$J$90:$J$150)</f>
        <v>11250</v>
      </c>
      <c r="F65" s="178">
        <f>SUMIF('Study Area 3 TRP'!$C$90:$C$150,"DS3",'Study Area 3 TRP'!$K$90:$K$150)</f>
        <v>11250</v>
      </c>
      <c r="G65" s="95">
        <f>SUM(C65,E65)</f>
        <v>31500</v>
      </c>
      <c r="H65" s="96">
        <f>SUM(D65,F65)</f>
        <v>31500</v>
      </c>
    </row>
    <row r="66" spans="1:8" ht="15">
      <c r="A66" s="223">
        <v>5</v>
      </c>
      <c r="B66" s="88" t="s">
        <v>72</v>
      </c>
      <c r="C66" s="95">
        <f>(SUMIF('Study Area 3 TRP'!$C$20:$C$74,"DS1",'Study Area 3 TRP'!$L$20:$L$74)+SUMIF('Study Area 3 TRP'!$C$20:$C$74,"DS3",'Study Area 3 TRP'!$L$20:$L$74)+SUMIF('Study Area 3 TRP'!$C$20:$C$74,"DDS",'Study Area 3 TRP'!$L$20:$L$74))*12</f>
        <v>60750</v>
      </c>
      <c r="D66" s="96">
        <f>(SUMIF('Study Area 3 TRP'!$C$20:$C$74,"DS1",'Study Area 3 TRP'!$M$20:$M$74)+SUMIF('Study Area 3 TRP'!$C$20:$C$74,"DS3",'Study Area 3 TRP'!$M$20:$M$74)+SUMIF('Study Area 3 TRP'!$C$20:$C$74,"DDS",'Study Area 3 TRP'!$M$20:$M$74))*12</f>
        <v>60750</v>
      </c>
      <c r="E66" s="95">
        <f>SUMIF('Study Area 3 TRP'!$C$90:$C$150,"DS1",'Study Area 3 TRP'!$J$90:$J$150)+SUMIF('Study Area 3 TRP'!$C$90:$C$150,"DS3",'Study Area 3 TRP'!$J$90:$J$150)+SUMIF('Study Area 3 TRP'!$C$90:$C$150,"DDS",'Study Area 3 TRP'!$J$90:$J$150)</f>
        <v>33500</v>
      </c>
      <c r="F66" s="178">
        <f>SUMIF('Study Area 3 TRP'!$C$90:$C$150,"DS1",'Study Area 3 TRP'!$K$90:$K$150)+SUMIF('Study Area 3 TRP'!$C$90:$C$150,"DS3",'Study Area 3 TRP'!$K$90:$K$150)+SUMIF('Study Area 3 TRP'!$C$90:$C$150,"DDS",'Study Area 3 TRP'!$K$90:$K$150)</f>
        <v>33500</v>
      </c>
      <c r="G66" s="95">
        <f>SUM(C66,E66)</f>
        <v>94250</v>
      </c>
      <c r="H66" s="96">
        <f>SUM(D66,F66)</f>
        <v>94250</v>
      </c>
    </row>
    <row r="67" spans="1:8" ht="15">
      <c r="A67" s="223">
        <v>6</v>
      </c>
      <c r="B67" s="176" t="s">
        <v>37</v>
      </c>
      <c r="C67" s="95">
        <f>(SUMIF('Study Area 3 TRP'!$C$20:$C$74,"WIDE",'Study Area 3 TRP'!$L$20:$L$74))*12</f>
        <v>27000</v>
      </c>
      <c r="D67" s="96">
        <f>(SUMIF('Study Area 3 TRP'!$C$20:$C$74,"WIDE",'Study Area 3 TRP'!$M$20:$M$74))*12</f>
        <v>27000</v>
      </c>
      <c r="E67" s="95">
        <f>SUMIF('Study Area 3 TRP'!$C$90:$C$150,"WIDE",'Study Area 3 TRP'!$J$90:$J$150)</f>
        <v>7500</v>
      </c>
      <c r="F67" s="178">
        <f>SUMIF('Study Area 3 TRP'!$C$90:$C$150,"WIDE",'Study Area 3 TRP'!$K$90:$K$150)</f>
        <v>7500</v>
      </c>
      <c r="G67" s="95">
        <f>SUM(C67,E67)</f>
        <v>34500</v>
      </c>
      <c r="H67" s="96">
        <f>SUM(D67,F67)</f>
        <v>34500</v>
      </c>
    </row>
    <row r="68" spans="1:8" ht="15.75" thickBot="1">
      <c r="A68" s="224">
        <v>7</v>
      </c>
      <c r="B68" s="220" t="s">
        <v>134</v>
      </c>
      <c r="C68" s="15">
        <f>SUM(C62,C63,C66,C67,(SUMIF('Study Area 3 TRP'!$C$20:$C$82,"MISC",'Study Area 3 TRP'!$L$20:$L$82))*12)</f>
        <v>148506</v>
      </c>
      <c r="D68" s="16">
        <f>SUM(D62,D63,D66,D67,(SUMIF('Study Area 3 TRP'!$C$20:$C$82,"MISC",'Study Area 3 TRP'!$M$20:$M$82))*12)</f>
        <v>148506</v>
      </c>
      <c r="E68" s="15">
        <f>SUM(E62,E63,E66,E67,SUMIF('Study Area 3 TRP'!$C$90:$C$150,"MISC",'Study Area 3 TRP'!$J$90:$J$150))</f>
        <v>99037.50</v>
      </c>
      <c r="F68" s="179">
        <f>SUM(F62,F63,F66,F67,SUMIF('Study Area 3 TRP'!$C$90:$C$150,"MISC",'Study Area 3 TRP'!$J$90:$J$150))</f>
        <v>99037.50</v>
      </c>
      <c r="G68" s="15">
        <f>SUM(C68,E68)</f>
        <v>247543.50</v>
      </c>
      <c r="H68" s="16">
        <f>SUM(D68,F68)</f>
        <v>247543.50</v>
      </c>
    </row>
    <row r="69" spans="1:13" s="101" customFormat="1" ht="15">
      <c r="A69" s="250"/>
      <c r="B69" s="246"/>
      <c r="C69" s="94"/>
      <c r="D69" s="94"/>
      <c r="E69" s="94"/>
      <c r="F69" s="94"/>
      <c r="G69" s="94"/>
      <c r="H69" s="94"/>
      <c r="I69" s="35"/>
      <c r="J69" s="39"/>
      <c r="K69" s="39"/>
      <c r="L69" s="39"/>
      <c r="M69" s="40"/>
    </row>
    <row r="70" spans="1:13" s="101" customFormat="1" ht="15">
      <c r="A70" s="250"/>
      <c r="B70" s="246"/>
      <c r="C70" s="94"/>
      <c r="D70" s="94"/>
      <c r="E70" s="94"/>
      <c r="F70" s="94"/>
      <c r="G70" s="94"/>
      <c r="H70" s="94"/>
      <c r="I70" s="35"/>
      <c r="J70" s="39"/>
      <c r="K70" s="39"/>
      <c r="L70" s="39"/>
      <c r="M70" s="40"/>
    </row>
    <row r="71" spans="2:13" s="101" customFormat="1" ht="15.75" thickBot="1">
      <c r="B71" s="251"/>
      <c r="C71" s="252"/>
      <c r="D71" s="130"/>
      <c r="E71" s="35"/>
      <c r="F71" s="35"/>
      <c r="G71" s="35"/>
      <c r="H71" s="35"/>
      <c r="I71" s="35"/>
      <c r="J71" s="39"/>
      <c r="K71" s="39"/>
      <c r="L71" s="39"/>
      <c r="M71" s="40"/>
    </row>
    <row r="72" spans="1:8" ht="15.75" thickBot="1">
      <c r="A72" s="327"/>
      <c r="B72" s="318" t="s">
        <v>122</v>
      </c>
      <c r="C72" s="319"/>
      <c r="D72" s="319"/>
      <c r="E72" s="319"/>
      <c r="F72" s="319"/>
      <c r="G72" s="319"/>
      <c r="H72" s="320"/>
    </row>
    <row r="73" spans="1:8" ht="15">
      <c r="A73" s="328"/>
      <c r="B73" s="175" t="s">
        <v>118</v>
      </c>
      <c r="C73" s="321" t="s">
        <v>81</v>
      </c>
      <c r="D73" s="323"/>
      <c r="E73" s="321" t="s">
        <v>82</v>
      </c>
      <c r="F73" s="322"/>
      <c r="G73" s="315" t="s">
        <v>109</v>
      </c>
      <c r="H73" s="316"/>
    </row>
    <row r="74" spans="1:8" ht="30">
      <c r="A74" s="328"/>
      <c r="B74" s="8" t="s">
        <v>9</v>
      </c>
      <c r="C74" s="85" t="s">
        <v>35</v>
      </c>
      <c r="D74" s="73" t="s">
        <v>36</v>
      </c>
      <c r="E74" s="85" t="s">
        <v>35</v>
      </c>
      <c r="F74" s="177" t="s">
        <v>36</v>
      </c>
      <c r="G74" s="85" t="s">
        <v>35</v>
      </c>
      <c r="H74" s="73" t="s">
        <v>36</v>
      </c>
    </row>
    <row r="75" spans="1:8" ht="15.75" thickBot="1">
      <c r="A75" s="329"/>
      <c r="B75" s="170"/>
      <c r="C75" s="20" t="str">
        <f t="shared" si="15" ref="C75:H75">"Col "&amp;COLUMN(C75)+74</f>
        <v>Col 77</v>
      </c>
      <c r="D75" s="19" t="str">
        <f>"Col "&amp;COLUMN(D75)+74</f>
        <v>Col 78</v>
      </c>
      <c r="E75" s="20" t="str">
        <f>"Col "&amp;COLUMN(E75)+74</f>
        <v>Col 79</v>
      </c>
      <c r="F75" s="19" t="str">
        <f>"Col "&amp;COLUMN(F75)+74</f>
        <v>Col 80</v>
      </c>
      <c r="G75" s="20" t="str">
        <f>"Col "&amp;COLUMN(G75)+74</f>
        <v>Col 81</v>
      </c>
      <c r="H75" s="19" t="str">
        <f>"Col "&amp;COLUMN(H75)+74</f>
        <v>Col 82</v>
      </c>
    </row>
    <row r="76" spans="1:8" ht="75.75" thickBot="1">
      <c r="A76" s="221" t="s">
        <v>133</v>
      </c>
      <c r="B76" s="170"/>
      <c r="C76" s="169" t="s">
        <v>124</v>
      </c>
      <c r="D76" s="10" t="s">
        <v>125</v>
      </c>
      <c r="E76" s="183" t="s">
        <v>126</v>
      </c>
      <c r="F76" s="184" t="s">
        <v>142</v>
      </c>
      <c r="G76" s="8" t="str">
        <f>"Sum("&amp;C75&amp;" + "&amp;E75&amp;")"</f>
        <v>Sum(Col 77 + Col 79)</v>
      </c>
      <c r="H76" s="9" t="str">
        <f>"Sum("&amp;D75&amp;" + "&amp;F75&amp;")"</f>
        <v>Sum(Col 78 + Col 80)</v>
      </c>
    </row>
    <row r="77" spans="1:8" ht="15">
      <c r="A77" s="222">
        <v>1</v>
      </c>
      <c r="B77" s="88" t="s">
        <v>49</v>
      </c>
      <c r="C77" s="95">
        <f>(SUMIF('Study Area 4 TRP'!$C$20:$C$74,"VG",'Study Area 4 TRP'!$L$20:$L$74)+SUMIF('Study Area 4 TRP'!$C$20:$C$74,"WATS",'Study Area 4 TRP'!$L$20:$L$74)+SUMIF('Study Area 4 TRP'!$C$20:$C$74,"METAL",'Study Area 4 TRP'!$L$20:$L$74)+SUMIF('Study Area 4 TRP'!$C$20:$C$74,"TGR",'Study Area 4 TRP'!$L$20:$L$74))*12</f>
        <v>22686.72</v>
      </c>
      <c r="D77" s="96">
        <f>(SUMIF('Study Area 4 TRP'!$C$20:$C$74,"VG",'Study Area 4 TRP'!$M$20:$M$74)+SUMIF('Study Area 4 TRP'!$C$20:$C$74,"WATS",'Study Area 4 TRP'!$M$20:$M$74)+SUMIF('Study Area 4 TRP'!$C$20:$C$74,"METAL",'Study Area 4 TRP'!$M$20:$M$74)+SUMIF('Study Area 4 TRP'!$C$20:$C$74,"TGR",'Study Area 4 TRP'!$M$20:$M$74))*12</f>
        <v>22686.72</v>
      </c>
      <c r="E77" s="95">
        <f>SUMIF('Study Area 4 TRP'!$C$90:$C$150,"VG",'Study Area 4 TRP'!$J$90:$J$150)+SUMIF('Study Area 4 TRP'!$C$90:$C$150,"WATS",'Study Area 4 TRP'!$J$90:$J$150)+SUMIF('Study Area 4 TRP'!$C$90:$C$150,"METAL",'Study Area 4 TRP'!$J$90:$J$150)+SUMIF('Study Area 4 TRP'!$C$90:$C$150,"TGR",'Study Area 4 TRP'!$J$90:$J$150)</f>
        <v>49043.89</v>
      </c>
      <c r="F77" s="178">
        <f>SUMIF('Study Area 4 TRP'!$C$90:$C$150,"VG",'Study Area 4 TRP'!$K$90:$K$150)+SUMIF('Study Area 4 TRP'!$C$90:$C$150,"WATS",'Study Area 4 TRP'!$K$90:$K$150)+SUMIF('Study Area 4 TRP'!$C$90:$C$150,"METAL",'Study Area 4 TRP'!$K$90:$K$150)+SUMIF('Study Area 4 TRP'!$C$90:$C$150,"TGR",'Study Area 4 TRP'!$K$90:$K$150)</f>
        <v>49043.89</v>
      </c>
      <c r="G77" s="95">
        <f>SUM(C77,E77)</f>
        <v>71730.61</v>
      </c>
      <c r="H77" s="96">
        <f>SUM(D77,F77)</f>
        <v>71730.61</v>
      </c>
    </row>
    <row r="78" spans="1:8" ht="15">
      <c r="A78" s="223">
        <v>2</v>
      </c>
      <c r="B78" s="88" t="s">
        <v>56</v>
      </c>
      <c r="C78" s="95">
        <f>(SUMIF('Study Area 4 TRP'!$C$20:$C$74,"AV",'Study Area 4 TRP'!$L$20:$L$74))*12</f>
        <v>15106.50</v>
      </c>
      <c r="D78" s="96">
        <f>(SUMIF('Study Area 4 TRP'!$C$20:$C$74,"AV",'Study Area 4 TRP'!$M$20:$M$74))*12</f>
        <v>15106.50</v>
      </c>
      <c r="E78" s="95">
        <f>SUMIF('Study Area 4 TRP'!$C$90:$C$150,"AV",'Study Area 4 TRP'!$J$90:$J$150)</f>
        <v>15671.60</v>
      </c>
      <c r="F78" s="178">
        <f>SUMIF('Study Area 4 TRP'!$C$90:$C$150,"AV",'Study Area 4 TRP'!$K$90:$K$150)</f>
        <v>15671.60</v>
      </c>
      <c r="G78" s="95">
        <f t="shared" si="16" ref="G78:G82">SUM(C78,E78)</f>
        <v>30778.10</v>
      </c>
      <c r="H78" s="96">
        <f t="shared" si="17" ref="H78:H82">SUM(D78,F78)</f>
        <v>30778.10</v>
      </c>
    </row>
    <row r="79" spans="1:8" ht="15">
      <c r="A79" s="223">
        <v>3</v>
      </c>
      <c r="B79" s="88" t="s">
        <v>12</v>
      </c>
      <c r="C79" s="95">
        <f>(SUMIF('Study Area 4 TRP'!$C$20:$C$74,"DS1",'Study Area 4 TRP'!$L$20:$L$74))*12</f>
        <v>18886.50</v>
      </c>
      <c r="D79" s="96">
        <f>(SUMIF('Study Area 4 TRP'!$C$20:$C$74,"DS1",'Study Area 4 TRP'!$M$20:$M$74))*12</f>
        <v>18886.50</v>
      </c>
      <c r="E79" s="95">
        <f>SUMIF('Study Area 4 TRP'!$C$90:$C$150,"DS1",'Study Area 4 TRP'!$J$90:$J$150)</f>
        <v>14272.20</v>
      </c>
      <c r="F79" s="178">
        <f>SUMIF('Study Area 4 TRP'!$C$90:$C$150,"DS1",'Study Area 4 TRP'!$K$90:$K$150)</f>
        <v>14272.20</v>
      </c>
      <c r="G79" s="95">
        <f>SUM(C79,E79)</f>
        <v>33158.7</v>
      </c>
      <c r="H79" s="96">
        <f>SUM(D79,F79)</f>
        <v>33158.7</v>
      </c>
    </row>
    <row r="80" spans="1:8" ht="15">
      <c r="A80" s="223">
        <v>4</v>
      </c>
      <c r="B80" s="88" t="s">
        <v>13</v>
      </c>
      <c r="C80" s="95">
        <f>(SUMIF('Study Area 4 TRP'!$C$20:$C$74,"DS3",'Study Area 4 TRP'!$L$20:$L$74))*12</f>
        <v>22666.50</v>
      </c>
      <c r="D80" s="96">
        <f>(SUMIF('Study Area 4 TRP'!$C$20:$C$74,"DS3",'Study Area 4 TRP'!$M$20:$M$74))*12</f>
        <v>22666.50</v>
      </c>
      <c r="E80" s="95">
        <f>SUMIF('Study Area 4 TRP'!$C$90:$C$150,"DS3",'Study Area 4 TRP'!$J$90:$J$150)</f>
        <v>12593.50</v>
      </c>
      <c r="F80" s="178">
        <f>SUMIF('Study Area 4 TRP'!$C$90:$C$150,"DS3",'Study Area 4 TRP'!$K$90:$K$150)</f>
        <v>12593.50</v>
      </c>
      <c r="G80" s="95">
        <f>SUM(C80,E80)</f>
        <v>35260</v>
      </c>
      <c r="H80" s="96">
        <f>SUM(D80,F80)</f>
        <v>35260</v>
      </c>
    </row>
    <row r="81" spans="1:8" ht="15">
      <c r="A81" s="223">
        <v>5</v>
      </c>
      <c r="B81" s="88" t="s">
        <v>72</v>
      </c>
      <c r="C81" s="95">
        <f>(SUMIF('Study Area 4 TRP'!$C$20:$C$74,"DS1",'Study Area 4 TRP'!$L$20:$L$74)+SUMIF('Study Area 4 TRP'!$C$20:$C$74,"DS3",'Study Area 4 TRP'!$L$20:$L$74)+SUMIF('Study Area 4 TRP'!$C$20:$C$74,"DDS",'Study Area 4 TRP'!$L$20:$L$74))*12</f>
        <v>67999.50</v>
      </c>
      <c r="D81" s="96">
        <f>(SUMIF('Study Area 4 TRP'!$C$20:$C$74,"DS1",'Study Area 4 TRP'!$M$20:$M$74)+SUMIF('Study Area 4 TRP'!$C$20:$C$74,"DS3",'Study Area 4 TRP'!$M$20:$M$74)+SUMIF('Study Area 4 TRP'!$C$20:$C$74,"DDS",'Study Area 4 TRP'!$M$20:$M$74))*12</f>
        <v>67999.50</v>
      </c>
      <c r="E81" s="95">
        <f>SUMIF('Study Area 4 TRP'!$C$90:$C$150,"DS1",'Study Area 4 TRP'!$J$90:$J$150)+SUMIF('Study Area 4 TRP'!$C$90:$C$150,"DS3",'Study Area 4 TRP'!$J$90:$J$150)+SUMIF('Study Area 4 TRP'!$C$90:$C$150,"DDS",'Study Area 4 TRP'!$J$90:$J$150)</f>
        <v>37500.100000000006</v>
      </c>
      <c r="F81" s="178">
        <f>SUMIF('Study Area 4 TRP'!$C$90:$C$150,"DS1",'Study Area 4 TRP'!$K$90:$K$150)+SUMIF('Study Area 4 TRP'!$C$90:$C$150,"DS3",'Study Area 4 TRP'!$K$90:$K$150)+SUMIF('Study Area 4 TRP'!$C$90:$C$150,"DDS",'Study Area 4 TRP'!$K$90:$K$150)</f>
        <v>37500.100000000006</v>
      </c>
      <c r="G81" s="95">
        <f>SUM(C81,E81)</f>
        <v>105499.60</v>
      </c>
      <c r="H81" s="96">
        <f>SUM(D81,F81)</f>
        <v>105499.60</v>
      </c>
    </row>
    <row r="82" spans="1:8" ht="15">
      <c r="A82" s="223">
        <v>6</v>
      </c>
      <c r="B82" s="176" t="s">
        <v>37</v>
      </c>
      <c r="C82" s="95">
        <f>(SUMIF('Study Area 4 TRP'!$C$20:$C$74,"WIDE",'Study Area 4 TRP'!$L$20:$L$74))*12</f>
        <v>30226.50</v>
      </c>
      <c r="D82" s="96">
        <f>(SUMIF('Study Area 4 TRP'!$C$20:$C$74,"WIDE",'Study Area 4 TRP'!$M$20:$M$74))*12</f>
        <v>30226.50</v>
      </c>
      <c r="E82" s="95">
        <f>SUMIF('Study Area 4 TRP'!$C$90:$C$150,"WIDE",'Study Area 4 TRP'!$J$90:$J$150)</f>
        <v>8395.50</v>
      </c>
      <c r="F82" s="178">
        <f>SUMIF('Study Area 4 TRP'!$C$90:$C$150,"WIDE",'Study Area 4 TRP'!$K$90:$K$150)</f>
        <v>8395.50</v>
      </c>
      <c r="G82" s="95">
        <f>SUM(C82,E82)</f>
        <v>38622</v>
      </c>
      <c r="H82" s="96">
        <f>SUM(D82,F82)</f>
        <v>38622</v>
      </c>
    </row>
    <row r="83" spans="1:8" ht="15.75" thickBot="1">
      <c r="A83" s="224">
        <v>7</v>
      </c>
      <c r="B83" s="220" t="s">
        <v>134</v>
      </c>
      <c r="C83" s="15">
        <f>SUM(C77,C78,C81,C82,(SUMIF('Study Area 4 TRP'!$C$20:$C$82,"MISC",'Study Area 4 TRP'!$L$20:$L$82))*12)</f>
        <v>166245.72</v>
      </c>
      <c r="D83" s="16">
        <f>SUM(D77,D78,D81,D82,(SUMIF('Study Area 4 TRP'!$C$20:$C$82,"MISC",'Study Area 4 TRP'!$M$20:$M$82))*12)</f>
        <v>166245.72</v>
      </c>
      <c r="E83" s="15">
        <f>SUM(E77,E78,E81,E82,SUMIF('Study Area 4 TRP'!$C$90:$C$150,"MISC",'Study Area 4 TRP'!$J$90:$J$150))</f>
        <v>110862.94</v>
      </c>
      <c r="F83" s="179">
        <f>SUM(F77,F78,F81,F82,SUMIF('Study Area 4 TRP'!$C$90:$C$150,"MISC",'Study Area 4 TRP'!$K$90:$K$150))</f>
        <v>110862.94</v>
      </c>
      <c r="G83" s="15">
        <f>SUM(C83,E83)</f>
        <v>277108.66000000003</v>
      </c>
      <c r="H83" s="16">
        <f>SUM(D83,F83)</f>
        <v>277108.66000000003</v>
      </c>
    </row>
  </sheetData>
  <mergeCells count="35">
    <mergeCell ref="A27:A30"/>
    <mergeCell ref="A42:A45"/>
    <mergeCell ref="A57:A60"/>
    <mergeCell ref="A72:A75"/>
    <mergeCell ref="A7:B7"/>
    <mergeCell ref="A8:B8"/>
    <mergeCell ref="A9:B9"/>
    <mergeCell ref="A10:B10"/>
    <mergeCell ref="B72:H72"/>
    <mergeCell ref="C73:D73"/>
    <mergeCell ref="E73:F73"/>
    <mergeCell ref="G73:H73"/>
    <mergeCell ref="B57:H57"/>
    <mergeCell ref="C58:D58"/>
    <mergeCell ref="E58:F58"/>
    <mergeCell ref="G58:H58"/>
    <mergeCell ref="C7:E7"/>
    <mergeCell ref="A1:B1"/>
    <mergeCell ref="A2:B2"/>
    <mergeCell ref="A3:B3"/>
    <mergeCell ref="A4:B4"/>
    <mergeCell ref="A5:B5"/>
    <mergeCell ref="B13:F13"/>
    <mergeCell ref="G43:H43"/>
    <mergeCell ref="F12:K12"/>
    <mergeCell ref="B27:H27"/>
    <mergeCell ref="B42:H42"/>
    <mergeCell ref="E28:F28"/>
    <mergeCell ref="G28:H28"/>
    <mergeCell ref="C28:D28"/>
    <mergeCell ref="C43:D43"/>
    <mergeCell ref="E43:F43"/>
    <mergeCell ref="G13:H13"/>
    <mergeCell ref="I13:J13"/>
    <mergeCell ref="K13:L13"/>
  </mergeCells>
  <conditionalFormatting sqref="F17:F25">
    <cfRule type="expression" priority="7" dxfId="1">
      <formula>$F17="Fail"</formula>
    </cfRule>
    <cfRule type="expression" priority="8" dxfId="0">
      <formula>$F17="Pass"</formula>
    </cfRule>
  </conditionalFormatting>
  <pageMargins left="0.25" right="0.25" top="0.75" bottom="0.75" header="0.3" footer="0.3"/>
  <pageSetup fitToHeight="0" orientation="landscape" paperSize="5" scale="74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Sellinger, Rosanne D.</dc:creator>
  <cp:keywords/>
  <dc:description/>
  <cp:lastModifiedBy>Richard Kwiatkowski</cp:lastModifiedBy>
  <cp:lastPrinted>2019-04-22T13:27:28Z</cp:lastPrinted>
  <dcterms:created xsi:type="dcterms:W3CDTF">2019-01-28T20:09:06Z</dcterms:created>
  <dcterms:modified xsi:type="dcterms:W3CDTF">2019-04-26T19:20:38Z</dcterms:modified>
  <cp:category/>
</cp:coreProperties>
</file>