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2="http://schemas.microsoft.com/office/spreadsheetml/2015/revision2" xmlns:x15="http://schemas.microsoft.com/office/spreadsheetml/2010/11/main" xmlns:xr6="http://schemas.microsoft.com/office/spreadsheetml/2016/revision6" xmlns:xr10="http://schemas.microsoft.com/office/spreadsheetml/2016/revision10" xmlns:mc="http://schemas.openxmlformats.org/markup-compatibility/2006" xmlns:xr="http://schemas.microsoft.com/office/spreadsheetml/2014/revision" mc:Ignorable="x15 xr xr6 xr10 xr2">
  <fileVersion appName="xl" lastEdited="7" lowestEdited="7" rupBuild="20730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fccnet\users\n2\Richard.Kwiatkowski\My Documents\Files 2 4.29.14\TY 2019-2020 Incentive Regulation ILEC BDS TRPs\"/>
    </mc:Choice>
  </mc:AlternateContent>
  <bookViews>
    <workbookView xWindow="0" yWindow="0" windowWidth="24000" windowHeight="8325" activeTab="2"/>
  </bookViews>
  <sheets>
    <sheet name="Instructions" sheetId="21" r:id="rId2"/>
    <sheet name="Exogenous Costs" sheetId="24" r:id="rId3"/>
    <sheet name="Factor Dev" sheetId="5" r:id="rId4"/>
    <sheet name=" Study Area TRP" sheetId="19" r:id="rId5"/>
  </sheets>
  <definedNames/>
  <calcPr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24" l="1"/>
</calcChain>
</file>

<file path=xl/sharedStrings.xml><?xml version="1.0" encoding="utf-8"?>
<sst xmlns="http://schemas.openxmlformats.org/spreadsheetml/2006/main" count="292" uniqueCount="159">
  <si>
    <t>Productivity Factor 
(X Factor)</t>
  </si>
  <si>
    <t>BDS costs from Original (Frozen) 2018 Cost Study</t>
  </si>
  <si>
    <t>BDS Costs from Unfrozen 2018 Cost Study</t>
  </si>
  <si>
    <t>Category Relationships Unfreeze Factor</t>
  </si>
  <si>
    <t>Service 
Category</t>
  </si>
  <si>
    <t>Net Contributor / Net Recipient Factor</t>
  </si>
  <si>
    <t>Input</t>
  </si>
  <si>
    <t>Holding Company ID</t>
  </si>
  <si>
    <t>Holding Company Name</t>
  </si>
  <si>
    <t>Service Band</t>
  </si>
  <si>
    <t>Study Area ID</t>
  </si>
  <si>
    <t>Study Area Name</t>
  </si>
  <si>
    <t xml:space="preserve">    DS1</t>
  </si>
  <si>
    <t xml:space="preserve">    DS3</t>
  </si>
  <si>
    <t>June 17, 2019 Title Title Title</t>
  </si>
  <si>
    <t>Study Area Code:</t>
  </si>
  <si>
    <t>Study Area Name:</t>
  </si>
  <si>
    <t>Category Relationship Unfreeze Factor:</t>
  </si>
  <si>
    <t>Net Contributor or Net Recipient Factor:</t>
  </si>
  <si>
    <t>Filing Date:  06/17/19</t>
  </si>
  <si>
    <t>Transmittal Number:  XXXX</t>
  </si>
  <si>
    <t>Annual Revenues</t>
  </si>
  <si>
    <t>Recurring Charges</t>
  </si>
  <si>
    <t>Tariff Rate Element</t>
  </si>
  <si>
    <t>Interstate Special Access Settlements @10.5%
7/1/18 - 12/31/18</t>
  </si>
  <si>
    <t xml:space="preserve">Filing Entity:  </t>
  </si>
  <si>
    <t>Non-recurring Charges</t>
  </si>
  <si>
    <t>Use Instructions</t>
  </si>
  <si>
    <t>File Includes the following tabs:</t>
  </si>
  <si>
    <t>Tariff Reference</t>
  </si>
  <si>
    <t>Difference Revenue 
- Settlements</t>
  </si>
  <si>
    <t>Study Area Dashboard</t>
  </si>
  <si>
    <t>At Proposed Rate</t>
  </si>
  <si>
    <t>Wideband Data and Wideband Analog Services</t>
  </si>
  <si>
    <t>123456</t>
  </si>
  <si>
    <t>Test Company</t>
  </si>
  <si>
    <t>Source</t>
  </si>
  <si>
    <t>GDP-PI Q4 2017</t>
  </si>
  <si>
    <t>GDP-PI Q4 2018</t>
  </si>
  <si>
    <t>VG</t>
  </si>
  <si>
    <t>WATS</t>
  </si>
  <si>
    <t>METAL</t>
  </si>
  <si>
    <t>** TELEGRAPH SPECIAL ACCESS SVCS **</t>
  </si>
  <si>
    <t>** METALLIC SPECIAL ACCESS SVCS**</t>
  </si>
  <si>
    <t>** WATS SPECIAL ACCESS SVCS**</t>
  </si>
  <si>
    <t>** VOICE GRADE SPECIAL ACCESS SVCS **</t>
  </si>
  <si>
    <t>** AUDIO AND VIDEO SERVICES **</t>
  </si>
  <si>
    <t>AV</t>
  </si>
  <si>
    <t>** DS1 SPECIAL ACCESS SERVICES **</t>
  </si>
  <si>
    <t>DS1</t>
  </si>
  <si>
    <t>** DS3 SPECIAL ACCESS SERVICES **</t>
  </si>
  <si>
    <t>DS3</t>
  </si>
  <si>
    <t>Audio and Video Services</t>
  </si>
  <si>
    <t>** DDS Services **</t>
  </si>
  <si>
    <t>DDS</t>
  </si>
  <si>
    <t>** WIDEBAND DATA AND WIDEBAND ANALOG SVCS **</t>
  </si>
  <si>
    <t>WIDE</t>
  </si>
  <si>
    <t>TGR</t>
  </si>
  <si>
    <t>Example</t>
  </si>
  <si>
    <t>Example Voice Grade Special Access Svc</t>
  </si>
  <si>
    <t>Example WATS Special Access Svc</t>
  </si>
  <si>
    <t>Example Metallic Special Access Svc</t>
  </si>
  <si>
    <t>Example Telegraph Special Access Svc</t>
  </si>
  <si>
    <t>Example Audio and Video Special Access Svc</t>
  </si>
  <si>
    <t>Example DS1 Special Access Svc</t>
  </si>
  <si>
    <t>Example DS3 Special Access Svc</t>
  </si>
  <si>
    <t>Example DDS Special Access Svc</t>
  </si>
  <si>
    <t>Example Wideband Special Access Svc</t>
  </si>
  <si>
    <t>High Capacity (DS1 and DS3) + DDS</t>
  </si>
  <si>
    <t>FCC 61.45(b)(1)(iv)</t>
  </si>
  <si>
    <t>** MISCELLANEOUS CHARGES **
(Access ordering, additional labor, etc.)</t>
  </si>
  <si>
    <t>Example Miscellaneous Special Access Svc</t>
  </si>
  <si>
    <t>MISC</t>
  </si>
  <si>
    <t>Annual Recurring Revenue</t>
  </si>
  <si>
    <t>Annual Non-recurring Revenue</t>
  </si>
  <si>
    <t>https://apps.bea.gov/iTable/iTable.cfm?reqid=19&amp;step=2</t>
  </si>
  <si>
    <t>Table 1.1.4. Price Indexes for Gross Domestic Product (updated 3/28/19)</t>
  </si>
  <si>
    <t>Interstate Surcharge Factor</t>
  </si>
  <si>
    <t>Total Special Access Revenues Including Interstate Surcharge</t>
  </si>
  <si>
    <t>Total Special Access Portion of Interstate FCC Form 499A</t>
  </si>
  <si>
    <t>Reg Fee</t>
  </si>
  <si>
    <t>TRS Fee</t>
  </si>
  <si>
    <t>NANPA Fee</t>
  </si>
  <si>
    <t>Incremental Exogenous Costs - BDS Non Competitive Services</t>
  </si>
  <si>
    <t>Incremental Fee Per $ Revenue</t>
  </si>
  <si>
    <t>Voice Grade, WATS, Metallic and Telegraph Special Access Services</t>
  </si>
  <si>
    <t>At Proposed Rates</t>
  </si>
  <si>
    <t>January 2019 Tariffed Rate (Current Rate)</t>
  </si>
  <si>
    <t>Adjusted January 2019 Tariffed Rate (Adjusted Current Rate)</t>
  </si>
  <si>
    <t>Proposed July 2019 Tariff Rate (Proposed Rate)</t>
  </si>
  <si>
    <t>Percent Rate Change
from Adjusted Current Rate to Proposed Rate</t>
  </si>
  <si>
    <t>Percent Rate Change
from Current Rate to Proposed Rate</t>
  </si>
  <si>
    <t>Average Monthly Demand Over Base Period (Calendar Year 2018)</t>
  </si>
  <si>
    <t>EXAMPLE TERM DISCOUNT PLAN
Average Monthly Demand Over Base Period (Calendar Year 2018) In a 
5-YR Term Plan Demand
(20% Discount)</t>
  </si>
  <si>
    <t>EXAMPLE TERM DISCOUNT PLAN
Average Monthly Demand Over Base Period (Calendar Year 2018) In a 
3-YR Term Plan Demand
(10% Discount)</t>
  </si>
  <si>
    <t>At Adjusted Current Rate</t>
  </si>
  <si>
    <t xml:space="preserve">Difference Proposed - Adjusted Current </t>
  </si>
  <si>
    <t>Input from 2019 FCC Form 499A</t>
  </si>
  <si>
    <t>Percent Change in GDP-PI
(GDP-PI)</t>
  </si>
  <si>
    <t>Ratio of the Sum of Annual Revenues Plus Exogenous Cost Changes to Annual Revenues 
(w)</t>
  </si>
  <si>
    <t>Cumulative Demand Over Base Period (Calendar Year 2018)</t>
  </si>
  <si>
    <t>Difference Proposed - Adjusted Current</t>
  </si>
  <si>
    <t xml:space="preserve">At Adjusted Current Rates </t>
  </si>
  <si>
    <t>Total Annual Revenue</t>
  </si>
  <si>
    <t>Sum of Non-recurring Charges at Adjusted Current Rates</t>
  </si>
  <si>
    <t>Sum of Charges at Proposed Rates</t>
  </si>
  <si>
    <t>Incremental Exogenous Costs for BDS Services
(Z)</t>
  </si>
  <si>
    <t>Average Monthly Revenue</t>
  </si>
  <si>
    <t>Sum of Recurring Charges at Adjusted Current Rates X 12</t>
  </si>
  <si>
    <t>Sum of Recurring Charges at Proposed  Rates X 12</t>
  </si>
  <si>
    <t>Sum of Study Area 2018 Annual Recurring and Non-Recurring Revenues at Adjusted Current Rates (from Study Area Tab)
(R)</t>
  </si>
  <si>
    <t>Interstate Surcharge for State or Federal Universal Service Contributions
Line 403d</t>
  </si>
  <si>
    <t>Interstate Gross Revenues
Line 420d</t>
  </si>
  <si>
    <t>Total Gross Revenues 
Line 420a</t>
  </si>
  <si>
    <t>Interstate Local Private Line and Business Data Services 
("Special Access")
Line 406d</t>
  </si>
  <si>
    <t>Line No.</t>
  </si>
  <si>
    <t>Total (Lines 1, 2, 5, 6 and Miscellaneous Charges)</t>
  </si>
  <si>
    <t>Exogenous Costs</t>
  </si>
  <si>
    <t>Study Area TRP</t>
  </si>
  <si>
    <t>Factor</t>
  </si>
  <si>
    <t>Existing Factor Value (Illustrative)</t>
  </si>
  <si>
    <t>Source FCC Order</t>
  </si>
  <si>
    <t>Contribution Factor Embedded in Existing Rates</t>
  </si>
  <si>
    <t>Reg Fee Factor:</t>
  </si>
  <si>
    <t>TRS Factor:</t>
  </si>
  <si>
    <t>NANPA Factor:</t>
  </si>
  <si>
    <t xml:space="preserve"> </t>
  </si>
  <si>
    <t>Revenues from BDS Ex Ante Rate Elements / Total Special Access Revenues (including DSL and ETS) from 2018</t>
  </si>
  <si>
    <t xml:space="preserve">This BDS TRP is for carriers that establish PCIs, APIs, SBIs, and upper SBI limits at the study area level.  </t>
  </si>
  <si>
    <t xml:space="preserve">The holding company BDS TRP is for carriers that establish a PCI, API, SBIs, and upper SBI limits at the holding company level.  </t>
  </si>
  <si>
    <t>Current entries are illustrative.  Use actual data and modify spacing as needed.</t>
  </si>
  <si>
    <t>Contribution Factors for Test Period Rates (if new factors are not available at the time of the filing, enter existing factors).</t>
  </si>
  <si>
    <t>Proposed PCI:</t>
  </si>
  <si>
    <t>Study Area Proposed PCI</t>
  </si>
  <si>
    <t>Pass if Proposed SBI Less Than or Equal to SBI Limit, or if Proposed API Less Than or Equal To Proposed PCI</t>
  </si>
  <si>
    <t xml:space="preserve">revise the relevant column headings to reflect these other term lengths, and revise the relevant formulas to reflect these other discounts to calculate </t>
  </si>
  <si>
    <t xml:space="preserve">The term discount plans in the study area worksheet are examples.  If a carrier offers discount plans with other term lengths and/or discounts, </t>
  </si>
  <si>
    <t>the revenues for these plans.</t>
  </si>
  <si>
    <t>Proposed Service Band Index 
(for Service Bands)
 or
Proposed Actual Price Index
 (for Total Basket)</t>
  </si>
  <si>
    <t>SBI Upper Limit (for Service Bands) 
or 
Proposed PCI (for Total Basket)</t>
  </si>
  <si>
    <r>
      <t>Jan. 1, 2019 Service Band Index
(SBI</t>
    </r>
    <r>
      <rPr>
        <b/>
        <vertAlign val="subscript"/>
        <sz val="11"/>
        <color theme="1"/>
        <rFont val="Calibri"/>
        <family val="2"/>
        <scheme val="minor"/>
      </rPr>
      <t xml:space="preserve">1/1/19 </t>
    </r>
    <r>
      <rPr>
        <b/>
        <sz val="11"/>
        <color theme="1"/>
        <rFont val="Calibri"/>
        <family val="2"/>
        <scheme val="minor"/>
      </rPr>
      <t>for Service Bands) or Jan. 1, 2019 Actual Price Index (API</t>
    </r>
    <r>
      <rPr>
        <b/>
        <vertAlign val="subscript"/>
        <sz val="11"/>
        <color theme="1"/>
        <rFont val="Calibri"/>
        <family val="2"/>
        <scheme val="minor"/>
      </rPr>
      <t>1/1/19</t>
    </r>
    <r>
      <rPr>
        <b/>
        <sz val="11"/>
        <color theme="1"/>
        <rFont val="Calibri"/>
        <family val="2"/>
        <scheme val="minor"/>
      </rPr>
      <t xml:space="preserve"> for Total Basket)</t>
    </r>
  </si>
  <si>
    <r>
      <t>Jan. 1, 2019 PCI
(PCI</t>
    </r>
    <r>
      <rPr>
        <b/>
        <vertAlign val="subscript"/>
        <sz val="11"/>
        <color theme="1"/>
        <rFont val="Calibri"/>
        <family val="2"/>
        <scheme val="minor"/>
      </rPr>
      <t>1/1/19</t>
    </r>
    <r>
      <rPr>
        <b/>
        <sz val="11"/>
        <color theme="1"/>
        <rFont val="Calibri"/>
        <family val="2"/>
        <scheme val="minor"/>
      </rPr>
      <t>)</t>
    </r>
  </si>
  <si>
    <r>
      <t>= SBI</t>
    </r>
    <r>
      <rPr>
        <b/>
        <vertAlign val="subscript"/>
        <sz val="11"/>
        <rFont val="Calibri"/>
        <family val="2"/>
        <scheme val="minor"/>
      </rPr>
      <t>1/1/19</t>
    </r>
    <r>
      <rPr>
        <b/>
        <sz val="11"/>
        <rFont val="Calibri"/>
        <family val="2"/>
        <scheme val="minor"/>
      </rPr>
      <t xml:space="preserve"> x (Proposed PCI/PCI</t>
    </r>
    <r>
      <rPr>
        <b/>
        <vertAlign val="subscript"/>
        <sz val="11"/>
        <rFont val="Calibri"/>
        <family val="2"/>
        <scheme val="minor"/>
      </rPr>
      <t>1/1/19</t>
    </r>
    <r>
      <rPr>
        <b/>
        <sz val="11"/>
        <rFont val="Calibri"/>
        <family val="2"/>
        <scheme val="minor"/>
      </rPr>
      <t>) x 1.05 (for Service Bands) or
= Proposed PCI (for Total Basket)</t>
    </r>
  </si>
  <si>
    <t xml:space="preserve">Enter data in cells marked 'Input'.  Output fields yield values based on formulas and input data. </t>
  </si>
  <si>
    <t xml:space="preserve">Enter rates as of January 1, 2019 in the relevant cells in the study area worksheet.  This worksheet adjusts these rates by applying the category </t>
  </si>
  <si>
    <t>NECA pool members enter settlements and revenue data in Col 16 and Col 17.
Other carriers enter 1.0000 for the Net Contributor/Net Recipient Factor in Col 19.</t>
  </si>
  <si>
    <t>Factor Dev(elopment)</t>
  </si>
  <si>
    <t xml:space="preserve">relationships unfreeze and net contributor/net recipient factors, as applicable.  Only carriers in NECA's Traffic Sensitive pool in TP1819 have a net </t>
  </si>
  <si>
    <t>Carriers that did not unfreeze their category relationships enter 1.0000 as the category relationships unfreeze factor in Col 15.</t>
  </si>
  <si>
    <t xml:space="preserve">contributor/net recipient factor.  Other carriers enter 1.0000 as the net contributor/net recipient factor in the relevant cell of this worksheet.  Carriers  </t>
  </si>
  <si>
    <r>
      <t xml:space="preserve">that did not unfreeze their category relationships </t>
    </r>
    <r>
      <rPr>
        <sz val="12"/>
        <rFont val="Calibri"/>
        <family val="2"/>
        <scheme val="minor"/>
      </rPr>
      <t>enter</t>
    </r>
    <r>
      <rPr>
        <sz val="12"/>
        <color indexed="8"/>
        <rFont val="Calibri"/>
        <family val="2"/>
        <scheme val="minor"/>
      </rPr>
      <t xml:space="preserve"> 1.0000 as the category relationships unfreeze factor in the relevant cell in this worksheet.</t>
    </r>
  </si>
  <si>
    <t xml:space="preserve">Enter average monthly demand for monthly recurring rate elements over the entire base period and annual demand for non-recurring rate elements for  </t>
  </si>
  <si>
    <t xml:space="preserve">the base period in the study area worksheet to calculate the revenues used in the price cap formulas.  The worksheet multiplies monthly revenues  </t>
  </si>
  <si>
    <t>derived from monthly recurring rates and average monthly demand by 12 to obtain annual revenues.</t>
  </si>
  <si>
    <t xml:space="preserve">shall reflect this exogenous cost change in rates to become effective October 1.  In the latter case, the exogenous cost adjustment for TRS shall be “grossed up” </t>
  </si>
  <si>
    <r>
      <t>Carriers shall reflect any exogenous cost adjustment for TRS in the TRP for the annual filing if the final contribution factor is known by May 1.</t>
    </r>
    <r>
      <rPr>
        <sz val="1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Otherwise, they </t>
    </r>
  </si>
  <si>
    <t>reflected in rates that take effect October 1, reflecting that these fees are obligations covering a fiscal year that begins October 1.</t>
  </si>
  <si>
    <t xml:space="preserve">to spread the entire adjustment over the remaining months in the tariff year.  The exogenous cost adjustments for NANPA and regulatory fees shall be </t>
  </si>
  <si>
    <t xml:space="preserve">Pooled Special Access Revenues 7/1/18 - 12/31/18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</si>
</sst>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/dd/yy;@"/>
    <numFmt numFmtId="166" formatCode="&quot;$&quot;#,##0.00"/>
    <numFmt numFmtId="167" formatCode="#,##0.0"/>
    <numFmt numFmtId="168" formatCode="0.00000"/>
    <numFmt numFmtId="169" formatCode="0.000"/>
    <numFmt numFmtId="170" formatCode="0.0000000"/>
    <numFmt numFmtId="171" formatCode="0.0000"/>
    <numFmt numFmtId="172" formatCode="0.0000%"/>
    <numFmt numFmtId="173" formatCode="#,##0.0000"/>
    <numFmt numFmtId="174" formatCode="0.000000"/>
    <numFmt numFmtId="175" formatCode="&quot;$&quot;#,##0.000000"/>
    <numFmt numFmtId="176" formatCode="0.000000%"/>
  </numFmts>
  <fonts count="2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00B050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/>
        <bgColor indexed="64"/>
      </patternFill>
    </fill>
  </fills>
  <borders count="4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/>
      <right style="thin">
        <color auto="1"/>
      </right>
      <top/>
      <bottom/>
    </border>
    <border>
      <left/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/>
    </border>
    <border>
      <left style="thin">
        <color auto="1"/>
      </left>
      <right/>
      <top/>
      <bottom/>
    </border>
    <border>
      <left style="thin">
        <color auto="1"/>
      </left>
      <right/>
      <top/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/>
      <right/>
      <top style="thin">
        <color auto="1"/>
      </top>
      <bottom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 style="thin">
        <color auto="1"/>
      </right>
      <top style="medium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medium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thin">
        <color auto="1"/>
      </bottom>
    </border>
    <border>
      <left/>
      <right style="medium">
        <color auto="1"/>
      </right>
      <top style="thin">
        <color auto="1"/>
      </top>
      <bottom style="thin">
        <color auto="1"/>
      </bottom>
    </border>
    <border>
      <left/>
      <right style="medium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/>
      <top style="medium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medium">
        <color auto="1"/>
      </left>
      <right/>
      <top style="medium">
        <color auto="1"/>
      </top>
      <bottom style="thin">
        <color auto="1"/>
      </bottom>
    </border>
    <border>
      <left/>
      <right/>
      <top style="medium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/>
      <right style="thin">
        <color auto="1"/>
      </right>
      <top style="thin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medium">
        <color auto="1"/>
      </left>
      <right style="thin">
        <color auto="1"/>
      </right>
      <top/>
      <bottom/>
    </border>
    <border>
      <left style="medium">
        <color auto="1"/>
      </left>
      <right style="thin">
        <color auto="1"/>
      </right>
      <top/>
      <bottom style="thin">
        <color auto="1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74">
    <xf numFmtId="0" fontId="0" fillId="0" borderId="0" xfId="0"/>
    <xf numFmtId="0" fontId="0" fillId="0" borderId="0" xfId="0"/>
    <xf numFmtId="0" fontId="0" fillId="0" borderId="0" xfId="0" applyBorder="1"/>
    <xf numFmtId="0" fontId="5" fillId="0" borderId="1" xfId="0" applyFont="1" applyBorder="1" applyAlignment="1">
      <alignment horizontal="center" wrapText="1"/>
    </xf>
    <xf numFmtId="0" fontId="9" fillId="0" borderId="0" xfId="0" applyNumberFormat="1" applyFont="1"/>
    <xf numFmtId="0" fontId="9" fillId="0" borderId="0" xfId="0" applyFont="1"/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0" fillId="0" borderId="0" xfId="0" applyFont="1"/>
    <xf numFmtId="0" fontId="5" fillId="0" borderId="1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10" fillId="0" borderId="0" xfId="0" applyFont="1" applyBorder="1"/>
    <xf numFmtId="0" fontId="11" fillId="0" borderId="0" xfId="0" applyNumberFormat="1" applyFont="1" applyFill="1" applyAlignment="1">
      <alignment vertical="center"/>
    </xf>
    <xf numFmtId="0" fontId="12" fillId="0" borderId="0" xfId="0" applyFont="1"/>
    <xf numFmtId="0" fontId="8" fillId="0" borderId="1" xfId="0" applyFont="1" applyBorder="1" applyAlignment="1">
      <alignment horizontal="center" wrapText="1"/>
    </xf>
    <xf numFmtId="0" fontId="6" fillId="0" borderId="0" xfId="0" applyFont="1"/>
    <xf numFmtId="0" fontId="13" fillId="0" borderId="0" xfId="0" applyFont="1"/>
    <xf numFmtId="0" fontId="2" fillId="0" borderId="0" xfId="26" applyFill="1">
      <alignment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indent="1"/>
    </xf>
    <xf numFmtId="0" fontId="5" fillId="0" borderId="0" xfId="0" applyFont="1"/>
    <xf numFmtId="0" fontId="10" fillId="0" borderId="0" xfId="0" applyFont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166" fontId="7" fillId="0" borderId="0" xfId="0" applyNumberFormat="1" applyFont="1" applyFill="1" applyAlignment="1">
      <alignment horizontal="right"/>
    </xf>
    <xf numFmtId="0" fontId="7" fillId="0" borderId="0" xfId="0" applyFont="1" applyAlignment="1">
      <alignment wrapText="1"/>
    </xf>
    <xf numFmtId="49" fontId="8" fillId="0" borderId="0" xfId="0" applyNumberFormat="1" applyFont="1" applyBorder="1" applyAlignment="1">
      <alignment horizontal="left" wrapText="1"/>
    </xf>
    <xf numFmtId="3" fontId="7" fillId="0" borderId="0" xfId="0" applyNumberFormat="1" applyFont="1" applyFill="1"/>
    <xf numFmtId="1" fontId="7" fillId="0" borderId="0" xfId="0" applyNumberFormat="1" applyFont="1" applyFill="1"/>
    <xf numFmtId="0" fontId="7" fillId="0" borderId="0" xfId="0" applyFont="1"/>
    <xf numFmtId="0" fontId="8" fillId="0" borderId="0" xfId="0" applyFont="1" applyBorder="1" applyAlignment="1">
      <alignment horizontal="left" wrapText="1"/>
    </xf>
    <xf numFmtId="168" fontId="15" fillId="0" borderId="0" xfId="15" applyNumberFormat="1" applyFont="1" applyFill="1" applyBorder="1" applyAlignment="1">
      <alignment horizontal="left"/>
    </xf>
    <xf numFmtId="0" fontId="8" fillId="0" borderId="0" xfId="0" applyFont="1"/>
    <xf numFmtId="0" fontId="14" fillId="0" borderId="0" xfId="0" applyFont="1"/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Font="1"/>
    <xf numFmtId="0" fontId="6" fillId="0" borderId="13" xfId="0" applyFont="1" applyBorder="1"/>
    <xf numFmtId="0" fontId="5" fillId="0" borderId="14" xfId="0" applyFont="1" applyBorder="1" applyAlignment="1">
      <alignment horizontal="right" indent="1"/>
    </xf>
    <xf numFmtId="169" fontId="8" fillId="0" borderId="0" xfId="0" applyNumberFormat="1" applyFont="1" applyBorder="1" applyAlignment="1">
      <alignment horizontal="left"/>
    </xf>
    <xf numFmtId="0" fontId="7" fillId="0" borderId="0" xfId="0" applyFont="1" applyBorder="1" quotePrefix="1"/>
    <xf numFmtId="0" fontId="5" fillId="0" borderId="15" xfId="0" applyFont="1" applyBorder="1" applyAlignment="1">
      <alignment horizontal="right" indent="1"/>
    </xf>
    <xf numFmtId="169" fontId="8" fillId="0" borderId="8" xfId="0" applyNumberFormat="1" applyFont="1" applyBorder="1" applyAlignment="1">
      <alignment horizontal="left"/>
    </xf>
    <xf numFmtId="166" fontId="0" fillId="0" borderId="16" xfId="0" applyNumberFormat="1" applyFont="1" applyBorder="1" applyAlignment="1">
      <alignment horizontal="right" wrapText="1"/>
    </xf>
    <xf numFmtId="166" fontId="0" fillId="0" borderId="17" xfId="0" applyNumberFormat="1" applyFont="1" applyBorder="1" applyAlignment="1">
      <alignment horizontal="right" wrapText="1"/>
    </xf>
    <xf numFmtId="172" fontId="7" fillId="0" borderId="16" xfId="0" applyNumberFormat="1" applyFont="1" applyBorder="1" applyAlignment="1">
      <alignment horizontal="right" wrapText="1"/>
    </xf>
    <xf numFmtId="172" fontId="0" fillId="0" borderId="17" xfId="15" applyNumberFormat="1" applyFont="1" applyBorder="1" applyAlignment="1">
      <alignment horizontal="right" wrapText="1"/>
    </xf>
    <xf numFmtId="171" fontId="7" fillId="0" borderId="0" xfId="0" applyNumberFormat="1" applyFont="1" applyFill="1" applyAlignment="1">
      <alignment horizontal="right"/>
    </xf>
    <xf numFmtId="171" fontId="0" fillId="0" borderId="1" xfId="15" applyNumberFormat="1" applyFont="1" applyBorder="1" applyAlignment="1">
      <alignment horizontal="right" indent="1"/>
    </xf>
    <xf numFmtId="0" fontId="5" fillId="0" borderId="18" xfId="0" applyFont="1" applyBorder="1" applyAlignment="1">
      <alignment horizontal="center"/>
    </xf>
    <xf numFmtId="0" fontId="0" fillId="0" borderId="8" xfId="0" applyBorder="1" quotePrefix="1"/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5" fillId="0" borderId="1" xfId="0" applyFont="1" applyBorder="1" applyAlignment="1" quotePrefix="1">
      <alignment horizontal="center" wrapText="1"/>
    </xf>
    <xf numFmtId="175" fontId="0" fillId="0" borderId="19" xfId="0" applyNumberFormat="1" applyBorder="1"/>
    <xf numFmtId="175" fontId="0" fillId="0" borderId="20" xfId="0" applyNumberFormat="1" applyBorder="1"/>
    <xf numFmtId="0" fontId="5" fillId="0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0" fontId="13" fillId="0" borderId="0" xfId="26" applyFont="1" applyFill="1" applyBorder="1" applyAlignment="1">
      <alignment horizontal="center"/>
      <protection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5" fillId="0" borderId="21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5" fillId="0" borderId="23" xfId="0" applyFont="1" applyBorder="1" applyAlignment="1" quotePrefix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4" xfId="0" applyFont="1" applyBorder="1" applyAlignment="1" quotePrefix="1">
      <alignment horizontal="center" wrapText="1"/>
    </xf>
    <xf numFmtId="0" fontId="5" fillId="0" borderId="5" xfId="0" applyFont="1" applyBorder="1" applyAlignment="1" quotePrefix="1">
      <alignment horizontal="center" wrapText="1"/>
    </xf>
    <xf numFmtId="171" fontId="0" fillId="0" borderId="17" xfId="0" applyNumberFormat="1" applyFont="1" applyBorder="1" applyAlignment="1">
      <alignment horizontal="right" wrapText="1"/>
    </xf>
    <xf numFmtId="173" fontId="7" fillId="0" borderId="24" xfId="0" applyNumberFormat="1" applyFont="1" applyBorder="1" applyAlignment="1">
      <alignment horizontal="right" wrapText="1"/>
    </xf>
    <xf numFmtId="171" fontId="5" fillId="0" borderId="0" xfId="15" applyNumberFormat="1" applyFont="1" applyFill="1" applyBorder="1" applyAlignment="1">
      <alignment horizontal="right" indent="1"/>
    </xf>
    <xf numFmtId="171" fontId="8" fillId="0" borderId="0" xfId="15" applyNumberFormat="1" applyFont="1" applyFill="1" applyBorder="1" applyAlignment="1">
      <alignment horizontal="right" indent="1"/>
    </xf>
    <xf numFmtId="0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right" indent="1"/>
    </xf>
    <xf numFmtId="0" fontId="20" fillId="0" borderId="0" xfId="0" applyFont="1" applyFill="1" applyBorder="1" applyAlignment="1">
      <alignment vertical="center"/>
    </xf>
    <xf numFmtId="167" fontId="17" fillId="0" borderId="0" xfId="0" applyNumberFormat="1" applyFont="1" applyFill="1" applyBorder="1"/>
    <xf numFmtId="167" fontId="17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/>
    <xf numFmtId="0" fontId="5" fillId="0" borderId="0" xfId="0" applyFont="1" applyBorder="1"/>
    <xf numFmtId="166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7" fillId="0" borderId="0" xfId="0" applyFont="1" applyBorder="1" applyAlignment="1">
      <alignment horizontal="center" wrapText="1"/>
    </xf>
    <xf numFmtId="166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/>
    <xf numFmtId="0" fontId="8" fillId="0" borderId="0" xfId="0" applyFont="1" applyBorder="1" applyAlignment="1">
      <alignment/>
    </xf>
    <xf numFmtId="166" fontId="8" fillId="0" borderId="1" xfId="0" applyNumberFormat="1" applyFont="1" applyFill="1" applyBorder="1" applyAlignment="1">
      <alignment horizontal="center" wrapText="1"/>
    </xf>
    <xf numFmtId="165" fontId="15" fillId="0" borderId="1" xfId="0" applyNumberFormat="1" applyFont="1" applyFill="1" applyBorder="1" applyAlignment="1">
      <alignment horizontal="center" wrapText="1"/>
    </xf>
    <xf numFmtId="166" fontId="15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3" fontId="15" fillId="0" borderId="1" xfId="0" applyNumberFormat="1" applyFont="1" applyFill="1" applyBorder="1" applyAlignment="1">
      <alignment horizontal="center" wrapText="1"/>
    </xf>
    <xf numFmtId="166" fontId="15" fillId="0" borderId="1" xfId="0" applyNumberFormat="1" applyFont="1" applyFill="1" applyBorder="1" applyAlignment="1" quotePrefix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168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3" fontId="22" fillId="0" borderId="1" xfId="0" applyNumberFormat="1" applyFont="1" applyFill="1" applyBorder="1" applyAlignment="1">
      <alignment horizontal="right" wrapText="1"/>
    </xf>
    <xf numFmtId="166" fontId="7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66" fontId="22" fillId="0" borderId="1" xfId="0" applyNumberFormat="1" applyFont="1" applyFill="1" applyBorder="1" applyAlignment="1">
      <alignment horizontal="right" wrapText="1"/>
    </xf>
    <xf numFmtId="164" fontId="22" fillId="0" borderId="1" xfId="15" applyNumberFormat="1" applyFont="1" applyFill="1" applyBorder="1" applyAlignment="1">
      <alignment horizontal="right" wrapText="1"/>
    </xf>
    <xf numFmtId="166" fontId="7" fillId="0" borderId="1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166" fontId="22" fillId="0" borderId="0" xfId="0" applyNumberFormat="1" applyFont="1" applyFill="1" applyBorder="1" applyAlignment="1">
      <alignment horizontal="right"/>
    </xf>
    <xf numFmtId="10" fontId="22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Protection="1">
      <protection locked="0"/>
    </xf>
    <xf numFmtId="1" fontId="7" fillId="0" borderId="0" xfId="0" applyNumberFormat="1" applyFont="1" applyFill="1" applyBorder="1"/>
    <xf numFmtId="0" fontId="7" fillId="0" borderId="0" xfId="0" applyFont="1" applyAlignment="1">
      <alignment horizontal="left" vertical="top"/>
    </xf>
    <xf numFmtId="166" fontId="7" fillId="0" borderId="0" xfId="0" applyNumberFormat="1" applyFont="1" applyFill="1" applyAlignment="1">
      <alignment horizontal="center"/>
    </xf>
    <xf numFmtId="3" fontId="15" fillId="0" borderId="0" xfId="0" applyNumberFormat="1" applyFont="1" applyFill="1" applyBorder="1" applyAlignment="1">
      <alignment horizontal="center" wrapText="1"/>
    </xf>
    <xf numFmtId="0" fontId="8" fillId="0" borderId="1" xfId="0" applyFont="1" applyBorder="1" applyAlignment="1">
      <alignment horizontal="left" vertical="top" wrapText="1"/>
    </xf>
    <xf numFmtId="0" fontId="15" fillId="0" borderId="1" xfId="0" applyNumberFormat="1" applyFont="1" applyBorder="1" applyAlignment="1">
      <alignment wrapText="1"/>
    </xf>
    <xf numFmtId="165" fontId="8" fillId="0" borderId="1" xfId="0" applyNumberFormat="1" applyFont="1" applyFill="1" applyBorder="1" applyAlignment="1">
      <alignment horizontal="center" wrapText="1"/>
    </xf>
    <xf numFmtId="0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Fill="1" applyBorder="1" applyAlignment="1">
      <alignment horizontal="center" wrapText="1"/>
    </xf>
    <xf numFmtId="9" fontId="8" fillId="0" borderId="1" xfId="0" applyNumberFormat="1" applyFont="1" applyFill="1" applyBorder="1" applyAlignment="1">
      <alignment horizontal="center" wrapText="1"/>
    </xf>
    <xf numFmtId="166" fontId="8" fillId="0" borderId="1" xfId="0" applyNumberFormat="1" applyFont="1" applyFill="1" applyBorder="1" applyAlignment="1">
      <alignment horizontal="right"/>
    </xf>
    <xf numFmtId="0" fontId="0" fillId="0" borderId="1" xfId="0" applyFont="1" applyFill="1" applyBorder="1"/>
    <xf numFmtId="0" fontId="8" fillId="0" borderId="1" xfId="0" applyFont="1" applyBorder="1"/>
    <xf numFmtId="164" fontId="7" fillId="0" borderId="1" xfId="15" applyNumberFormat="1" applyFont="1" applyFill="1" applyBorder="1" applyAlignment="1">
      <alignment horizontal="right"/>
    </xf>
    <xf numFmtId="3" fontId="7" fillId="0" borderId="1" xfId="0" applyNumberFormat="1" applyFont="1" applyFill="1" applyBorder="1" applyProtection="1">
      <protection locked="0"/>
    </xf>
    <xf numFmtId="166" fontId="7" fillId="0" borderId="1" xfId="0" applyNumberFormat="1" applyFont="1" applyFill="1" applyBorder="1"/>
    <xf numFmtId="166" fontId="7" fillId="0" borderId="1" xfId="0" applyNumberFormat="1" applyFont="1" applyFill="1" applyBorder="1" applyAlignment="1">
      <alignment horizontal="right"/>
    </xf>
    <xf numFmtId="166" fontId="22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/>
    <xf numFmtId="1" fontId="7" fillId="0" borderId="1" xfId="0" applyNumberFormat="1" applyFont="1" applyFill="1" applyBorder="1"/>
    <xf numFmtId="0" fontId="7" fillId="0" borderId="1" xfId="0" applyFont="1" applyBorder="1"/>
    <xf numFmtId="0" fontId="0" fillId="0" borderId="25" xfId="0" applyBorder="1"/>
    <xf numFmtId="0" fontId="5" fillId="0" borderId="26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6" xfId="0" applyFont="1" applyBorder="1" applyAlignment="1" quotePrefix="1">
      <alignment horizontal="center" wrapText="1"/>
    </xf>
    <xf numFmtId="0" fontId="0" fillId="0" borderId="16" xfId="0" applyFont="1" applyBorder="1"/>
    <xf numFmtId="0" fontId="0" fillId="0" borderId="17" xfId="0" applyFont="1" applyBorder="1"/>
    <xf numFmtId="0" fontId="0" fillId="0" borderId="17" xfId="0" applyFont="1" applyBorder="1" quotePrefix="1"/>
    <xf numFmtId="0" fontId="0" fillId="0" borderId="24" xfId="0" applyFont="1" applyBorder="1"/>
    <xf numFmtId="166" fontId="0" fillId="0" borderId="24" xfId="0" applyNumberFormat="1" applyFont="1" applyBorder="1" applyAlignment="1">
      <alignment horizontal="right" wrapText="1"/>
    </xf>
    <xf numFmtId="174" fontId="0" fillId="0" borderId="16" xfId="0" applyNumberFormat="1" applyFont="1" applyBorder="1" applyAlignment="1">
      <alignment horizontal="right" wrapText="1"/>
    </xf>
    <xf numFmtId="174" fontId="0" fillId="0" borderId="17" xfId="0" applyNumberFormat="1" applyFont="1" applyBorder="1" applyAlignment="1">
      <alignment horizontal="right" wrapText="1"/>
    </xf>
    <xf numFmtId="174" fontId="0" fillId="0" borderId="24" xfId="0" applyNumberFormat="1" applyFont="1" applyBorder="1" applyAlignment="1">
      <alignment horizontal="right" wrapText="1"/>
    </xf>
    <xf numFmtId="166" fontId="0" fillId="0" borderId="27" xfId="0" applyNumberFormat="1" applyFont="1" applyBorder="1" applyAlignment="1">
      <alignment horizontal="right" wrapText="1"/>
    </xf>
    <xf numFmtId="0" fontId="0" fillId="0" borderId="28" xfId="0" applyFont="1" applyBorder="1"/>
    <xf numFmtId="0" fontId="0" fillId="0" borderId="29" xfId="0" applyFont="1" applyBorder="1"/>
    <xf numFmtId="0" fontId="0" fillId="0" borderId="29" xfId="0" applyFont="1" applyBorder="1" quotePrefix="1"/>
    <xf numFmtId="0" fontId="0" fillId="0" borderId="30" xfId="0" applyFont="1" applyBorder="1"/>
    <xf numFmtId="166" fontId="0" fillId="0" borderId="28" xfId="0" applyNumberFormat="1" applyFont="1" applyBorder="1" applyAlignment="1">
      <alignment horizontal="right" wrapText="1"/>
    </xf>
    <xf numFmtId="166" fontId="0" fillId="0" borderId="29" xfId="0" applyNumberFormat="1" applyFont="1" applyBorder="1" applyAlignment="1">
      <alignment horizontal="right" wrapText="1"/>
    </xf>
    <xf numFmtId="171" fontId="0" fillId="0" borderId="31" xfId="0" applyNumberFormat="1" applyFont="1" applyBorder="1" applyAlignment="1">
      <alignment horizontal="right" wrapText="1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5" fillId="0" borderId="0" xfId="0" applyFont="1" applyFill="1" applyBorder="1"/>
    <xf numFmtId="0" fontId="13" fillId="0" borderId="0" xfId="0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66" fontId="0" fillId="0" borderId="4" xfId="0" applyNumberFormat="1" applyFont="1" applyBorder="1" applyAlignment="1">
      <alignment horizontal="right" indent="1"/>
    </xf>
    <xf numFmtId="166" fontId="0" fillId="0" borderId="5" xfId="0" applyNumberFormat="1" applyFont="1" applyBorder="1" applyAlignment="1">
      <alignment horizontal="right" indent="1"/>
    </xf>
    <xf numFmtId="166" fontId="5" fillId="2" borderId="16" xfId="0" applyNumberFormat="1" applyFont="1" applyFill="1" applyBorder="1" applyAlignment="1">
      <alignment horizontal="right" indent="1"/>
    </xf>
    <xf numFmtId="166" fontId="5" fillId="2" borderId="24" xfId="0" applyNumberFormat="1" applyFont="1" applyFill="1" applyBorder="1" applyAlignment="1">
      <alignment horizontal="right" indent="1"/>
    </xf>
    <xf numFmtId="0" fontId="0" fillId="0" borderId="5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2" borderId="24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5" fillId="0" borderId="25" xfId="0" applyFont="1" applyBorder="1" applyAlignment="1">
      <alignment wrapText="1"/>
    </xf>
    <xf numFmtId="174" fontId="0" fillId="0" borderId="27" xfId="0" applyNumberFormat="1" applyFont="1" applyBorder="1" applyAlignment="1">
      <alignment horizontal="right" wrapText="1"/>
    </xf>
    <xf numFmtId="174" fontId="5" fillId="0" borderId="0" xfId="0" applyNumberFormat="1" applyFont="1" applyAlignment="1">
      <alignment horizontal="left"/>
    </xf>
    <xf numFmtId="169" fontId="0" fillId="0" borderId="0" xfId="0" applyNumberFormat="1" quotePrefix="1"/>
    <xf numFmtId="176" fontId="0" fillId="0" borderId="0" xfId="15" applyNumberFormat="1" applyFont="1"/>
    <xf numFmtId="0" fontId="8" fillId="0" borderId="32" xfId="0" applyFont="1" applyBorder="1" applyAlignment="1">
      <alignment horizontal="center" wrapText="1"/>
    </xf>
    <xf numFmtId="0" fontId="16" fillId="0" borderId="0" xfId="0" applyNumberFormat="1" applyFont="1" applyFill="1" applyAlignment="1">
      <alignment vertical="center" wrapText="1"/>
    </xf>
    <xf numFmtId="0" fontId="0" fillId="0" borderId="0" xfId="0" applyBorder="1" applyAlignment="1">
      <alignment/>
    </xf>
    <xf numFmtId="0" fontId="8" fillId="0" borderId="1" xfId="26" applyFont="1" applyFill="1" applyBorder="1" applyAlignment="1">
      <alignment horizontal="center" wrapText="1"/>
      <protection/>
    </xf>
    <xf numFmtId="168" fontId="8" fillId="0" borderId="1" xfId="26" applyNumberFormat="1" applyFont="1" applyFill="1" applyBorder="1" applyAlignment="1">
      <alignment vertical="top"/>
      <protection/>
    </xf>
    <xf numFmtId="168" fontId="8" fillId="0" borderId="1" xfId="26" applyNumberFormat="1" applyFont="1" applyFill="1" applyBorder="1">
      <alignment/>
      <protection/>
    </xf>
    <xf numFmtId="0" fontId="6" fillId="0" borderId="4" xfId="0" applyFont="1" applyBorder="1" applyAlignment="1">
      <alignment horizontal="center" wrapText="1"/>
    </xf>
    <xf numFmtId="0" fontId="8" fillId="0" borderId="5" xfId="26" applyFont="1" applyFill="1" applyBorder="1" applyAlignment="1">
      <alignment horizontal="center" wrapText="1"/>
      <protection/>
    </xf>
    <xf numFmtId="0" fontId="8" fillId="0" borderId="4" xfId="26" applyFont="1" applyFill="1" applyBorder="1">
      <alignment/>
      <protection/>
    </xf>
    <xf numFmtId="0" fontId="8" fillId="0" borderId="5" xfId="26" applyFont="1" applyFill="1" applyBorder="1">
      <alignment/>
      <protection/>
    </xf>
    <xf numFmtId="0" fontId="8" fillId="0" borderId="16" xfId="26" applyFont="1" applyFill="1" applyBorder="1">
      <alignment/>
      <protection/>
    </xf>
    <xf numFmtId="170" fontId="8" fillId="0" borderId="17" xfId="26" applyNumberFormat="1" applyFont="1" applyFill="1" applyBorder="1">
      <alignment/>
      <protection/>
    </xf>
    <xf numFmtId="0" fontId="8" fillId="0" borderId="24" xfId="26" applyFont="1" applyFill="1" applyBorder="1">
      <alignment/>
      <protection/>
    </xf>
    <xf numFmtId="0" fontId="2" fillId="0" borderId="33" xfId="26" applyFill="1" applyBorder="1">
      <alignment/>
      <protection/>
    </xf>
    <xf numFmtId="0" fontId="5" fillId="0" borderId="19" xfId="0" applyFont="1" applyBorder="1" applyAlignment="1">
      <alignment horizontal="center" wrapText="1"/>
    </xf>
    <xf numFmtId="171" fontId="5" fillId="0" borderId="0" xfId="0" applyNumberFormat="1" applyFont="1" applyAlignment="1">
      <alignment horizontal="left"/>
    </xf>
    <xf numFmtId="0" fontId="24" fillId="0" borderId="0" xfId="0" applyFont="1"/>
    <xf numFmtId="0" fontId="25" fillId="0" borderId="0" xfId="0" applyFont="1"/>
    <xf numFmtId="0" fontId="7" fillId="0" borderId="0" xfId="0" applyFont="1" applyFill="1" applyAlignment="1">
      <alignment wrapText="1"/>
    </xf>
    <xf numFmtId="0" fontId="8" fillId="0" borderId="0" xfId="26" applyFont="1" applyFill="1" applyBorder="1" applyAlignment="1">
      <alignment vertical="top" wrapText="1"/>
      <protection/>
    </xf>
    <xf numFmtId="0" fontId="8" fillId="0" borderId="0" xfId="0" applyFont="1" applyFill="1" applyAlignment="1">
      <alignment horizontal="right" indent="1"/>
    </xf>
    <xf numFmtId="168" fontId="7" fillId="0" borderId="0" xfId="15" applyNumberFormat="1" applyFont="1" applyFill="1" applyBorder="1" applyAlignment="1">
      <alignment horizontal="left"/>
    </xf>
    <xf numFmtId="167" fontId="7" fillId="0" borderId="0" xfId="0" applyNumberFormat="1" applyFont="1" applyFill="1" applyBorder="1"/>
    <xf numFmtId="0" fontId="16" fillId="0" borderId="0" xfId="0" applyNumberFormat="1" applyFont="1" applyFill="1" applyAlignment="1">
      <alignment vertical="center"/>
    </xf>
    <xf numFmtId="0" fontId="24" fillId="0" borderId="0" xfId="0" applyFont="1" applyFill="1"/>
    <xf numFmtId="0" fontId="26" fillId="0" borderId="0" xfId="0" applyNumberFormat="1" applyFont="1" applyFill="1" applyAlignment="1">
      <alignment vertical="center"/>
    </xf>
    <xf numFmtId="0" fontId="0" fillId="0" borderId="0" xfId="0" applyFill="1"/>
    <xf numFmtId="0" fontId="5" fillId="0" borderId="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8" fillId="0" borderId="32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" xfId="0" applyFont="1" applyFill="1" applyBorder="1" applyAlignment="1" quotePrefix="1">
      <alignment horizontal="center" wrapText="1"/>
    </xf>
    <xf numFmtId="171" fontId="0" fillId="0" borderId="1" xfId="15" applyNumberFormat="1" applyFont="1" applyFill="1" applyBorder="1" applyAlignment="1">
      <alignment horizontal="right" indent="1"/>
    </xf>
    <xf numFmtId="0" fontId="5" fillId="3" borderId="17" xfId="0" applyFont="1" applyFill="1" applyBorder="1"/>
    <xf numFmtId="171" fontId="5" fillId="3" borderId="17" xfId="15" applyNumberFormat="1" applyFont="1" applyFill="1" applyBorder="1" applyAlignment="1">
      <alignment horizontal="right" indent="1"/>
    </xf>
    <xf numFmtId="171" fontId="8" fillId="3" borderId="17" xfId="15" applyNumberFormat="1" applyFont="1" applyFill="1" applyBorder="1" applyAlignment="1">
      <alignment horizontal="right" indent="1"/>
    </xf>
    <xf numFmtId="0" fontId="26" fillId="0" borderId="0" xfId="0" applyFont="1" applyFill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8" fillId="0" borderId="37" xfId="26" applyFont="1" applyFill="1" applyBorder="1" applyAlignment="1">
      <alignment horizontal="center"/>
      <protection/>
    </xf>
    <xf numFmtId="0" fontId="8" fillId="0" borderId="38" xfId="26" applyFont="1" applyFill="1" applyBorder="1" applyAlignment="1">
      <alignment horizontal="center"/>
      <protection/>
    </xf>
    <xf numFmtId="0" fontId="8" fillId="0" borderId="39" xfId="26" applyFont="1" applyFill="1" applyBorder="1" applyAlignment="1">
      <alignment horizontal="center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21" fillId="0" borderId="1" xfId="0" applyFont="1" applyBorder="1" applyAlignment="1">
      <alignment horizontal="center"/>
    </xf>
    <xf numFmtId="0" fontId="20" fillId="4" borderId="41" xfId="0" applyFont="1" applyFill="1" applyBorder="1" applyAlignment="1">
      <alignment horizontal="center" vertical="center"/>
    </xf>
    <xf numFmtId="0" fontId="20" fillId="4" borderId="42" xfId="0" applyFont="1" applyFill="1" applyBorder="1" applyAlignment="1">
      <alignment horizontal="center" vertical="center"/>
    </xf>
    <xf numFmtId="0" fontId="20" fillId="4" borderId="43" xfId="0" applyFont="1" applyFill="1" applyBorder="1" applyAlignment="1">
      <alignment horizontal="center" vertical="center"/>
    </xf>
    <xf numFmtId="0" fontId="20" fillId="4" borderId="44" xfId="0" applyFont="1" applyFill="1" applyBorder="1" applyAlignment="1">
      <alignment horizontal="center" vertical="center"/>
    </xf>
    <xf numFmtId="0" fontId="20" fillId="4" borderId="45" xfId="0" applyFont="1" applyFill="1" applyBorder="1" applyAlignment="1">
      <alignment horizontal="center" vertical="center"/>
    </xf>
    <xf numFmtId="0" fontId="20" fillId="4" borderId="46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166" fontId="21" fillId="0" borderId="35" xfId="0" applyNumberFormat="1" applyFont="1" applyFill="1" applyBorder="1" applyAlignment="1">
      <alignment horizontal="center"/>
    </xf>
    <xf numFmtId="166" fontId="21" fillId="0" borderId="25" xfId="0" applyNumberFormat="1" applyFont="1" applyFill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39" xfId="0" applyFont="1" applyBorder="1" applyAlignment="1">
      <alignment horizontal="center"/>
    </xf>
  </cellXfs>
  <cellStyles count="13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2" xfId="20"/>
    <cellStyle name="Comma 5" xfId="21"/>
    <cellStyle name="Comma 2" xfId="22"/>
    <cellStyle name="Percent 2" xfId="23"/>
    <cellStyle name="Currency 2" xfId="24"/>
    <cellStyle name="Normal 3" xfId="25"/>
    <cellStyle name="Normal_CBTC prelim AN11" xfId="26"/>
  </cellStyles>
  <dxfs count="4"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workbookViewId="0" topLeftCell="A1"/>
  </sheetViews>
  <sheetFormatPr defaultRowHeight="15"/>
  <cols>
    <col min="1" max="1" width="141.375" customWidth="1"/>
    <col min="2" max="2" width="18.375" customWidth="1"/>
  </cols>
  <sheetData>
    <row r="1" spans="1:9" ht="18.75">
      <c r="A1" s="18" t="s">
        <v>27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18.75">
      <c r="A2" s="18"/>
      <c r="B2" s="19"/>
      <c r="C2" s="19"/>
      <c r="D2" s="19"/>
      <c r="E2" s="19"/>
      <c r="F2" s="19"/>
      <c r="G2" s="19"/>
      <c r="H2" s="19"/>
      <c r="I2" s="19"/>
    </row>
    <row r="3" spans="1:9" ht="14.45" customHeight="1">
      <c r="A3" s="196" t="s">
        <v>128</v>
      </c>
      <c r="B3" s="196"/>
      <c r="C3" s="196"/>
      <c r="D3" s="196"/>
      <c r="E3" s="196"/>
      <c r="F3" s="196"/>
      <c r="G3" s="196"/>
      <c r="H3" s="196"/>
      <c r="I3" s="196"/>
    </row>
    <row r="4" spans="1:9" s="1" customFormat="1" ht="14.45" customHeight="1">
      <c r="A4" s="196" t="s">
        <v>129</v>
      </c>
      <c r="B4" s="196"/>
      <c r="C4" s="196"/>
      <c r="D4" s="196"/>
      <c r="E4" s="196"/>
      <c r="F4" s="196"/>
      <c r="G4" s="196"/>
      <c r="H4" s="196"/>
      <c r="I4" s="196"/>
    </row>
    <row r="5" spans="1:9" s="1" customFormat="1" ht="14.45" customHeight="1">
      <c r="A5" s="196"/>
      <c r="B5" s="196"/>
      <c r="C5" s="196"/>
      <c r="D5" s="196"/>
      <c r="E5" s="196"/>
      <c r="F5" s="196"/>
      <c r="G5" s="196"/>
      <c r="H5" s="196"/>
      <c r="I5" s="196"/>
    </row>
    <row r="6" spans="1:9" s="1" customFormat="1" ht="14.45" customHeight="1">
      <c r="A6" s="218" t="s">
        <v>130</v>
      </c>
      <c r="B6" s="196"/>
      <c r="C6" s="196"/>
      <c r="D6" s="196"/>
      <c r="E6" s="196"/>
      <c r="F6" s="196"/>
      <c r="G6" s="196"/>
      <c r="H6" s="196"/>
      <c r="I6" s="196"/>
    </row>
    <row r="7" spans="1:9" s="1" customFormat="1" ht="14.45" customHeight="1">
      <c r="A7" s="196"/>
      <c r="B7" s="196"/>
      <c r="C7" s="196"/>
      <c r="D7" s="196"/>
      <c r="E7" s="196"/>
      <c r="F7" s="196"/>
      <c r="G7" s="196"/>
      <c r="H7" s="196"/>
      <c r="I7" s="196"/>
    </row>
    <row r="8" spans="1:9" s="1" customFormat="1" ht="14.45" customHeight="1">
      <c r="A8" s="196" t="s">
        <v>143</v>
      </c>
      <c r="B8" s="196"/>
      <c r="C8" s="196"/>
      <c r="D8" s="196"/>
      <c r="E8" s="196"/>
      <c r="F8" s="196"/>
      <c r="G8" s="196"/>
      <c r="H8" s="196"/>
      <c r="I8" s="196"/>
    </row>
    <row r="9" spans="1:9" s="1" customFormat="1" ht="14.45" customHeight="1">
      <c r="A9" s="196"/>
      <c r="B9" s="196"/>
      <c r="C9" s="196"/>
      <c r="D9" s="196"/>
      <c r="E9" s="196"/>
      <c r="F9" s="196"/>
      <c r="G9" s="196"/>
      <c r="H9" s="196"/>
      <c r="I9" s="196"/>
    </row>
    <row r="10" spans="1:9" s="1" customFormat="1" ht="14.45" customHeight="1">
      <c r="A10" s="218" t="s">
        <v>144</v>
      </c>
      <c r="B10" s="196"/>
      <c r="C10" s="196"/>
      <c r="D10" s="196"/>
      <c r="E10" s="196"/>
      <c r="F10" s="196"/>
      <c r="G10" s="196"/>
      <c r="H10" s="196"/>
      <c r="I10" s="196"/>
    </row>
    <row r="11" spans="1:9" s="1" customFormat="1" ht="14.45" customHeight="1">
      <c r="A11" s="233" t="s">
        <v>147</v>
      </c>
      <c r="B11" s="196"/>
      <c r="C11" s="196"/>
      <c r="D11" s="196"/>
      <c r="E11" s="196"/>
      <c r="F11" s="196"/>
      <c r="G11" s="196"/>
      <c r="H11" s="196"/>
      <c r="I11" s="196"/>
    </row>
    <row r="12" spans="1:9" s="1" customFormat="1" ht="14.45" customHeight="1">
      <c r="A12" s="218" t="s">
        <v>149</v>
      </c>
      <c r="B12" s="196"/>
      <c r="C12" s="196"/>
      <c r="D12" s="196"/>
      <c r="E12" s="196"/>
      <c r="F12" s="196"/>
      <c r="G12" s="196"/>
      <c r="H12" s="196"/>
      <c r="I12" s="196"/>
    </row>
    <row r="13" spans="1:9" s="1" customFormat="1" ht="14.45" customHeight="1">
      <c r="A13" s="218" t="s">
        <v>150</v>
      </c>
      <c r="B13" s="196"/>
      <c r="C13" s="196"/>
      <c r="D13" s="196"/>
      <c r="E13" s="196"/>
      <c r="F13" s="196"/>
      <c r="G13" s="196"/>
      <c r="H13" s="196"/>
      <c r="I13" s="196"/>
    </row>
    <row r="14" spans="1:9" s="1" customFormat="1" ht="14.45" customHeight="1">
      <c r="A14" s="196" t="s">
        <v>126</v>
      </c>
      <c r="B14" s="196"/>
      <c r="C14" s="196"/>
      <c r="D14" s="196"/>
      <c r="E14" s="196"/>
      <c r="F14" s="196"/>
      <c r="G14" s="196"/>
      <c r="H14" s="196"/>
      <c r="I14" s="196"/>
    </row>
    <row r="15" spans="1:9" s="1" customFormat="1" ht="14.45" customHeight="1">
      <c r="A15" s="220" t="s">
        <v>151</v>
      </c>
      <c r="B15" s="196"/>
      <c r="C15" s="196" t="s">
        <v>126</v>
      </c>
      <c r="D15" s="196"/>
      <c r="E15" s="196"/>
      <c r="F15" s="196"/>
      <c r="G15" s="196"/>
      <c r="H15" s="196"/>
      <c r="I15" s="196"/>
    </row>
    <row r="16" spans="1:9" s="1" customFormat="1" ht="14.45" customHeight="1">
      <c r="A16" s="220" t="s">
        <v>152</v>
      </c>
      <c r="B16" s="196"/>
      <c r="C16" s="196"/>
      <c r="D16" s="196"/>
      <c r="E16" s="196"/>
      <c r="F16" s="196"/>
      <c r="G16" s="196"/>
      <c r="H16" s="196"/>
      <c r="I16" s="196"/>
    </row>
    <row r="17" spans="1:9" s="1" customFormat="1" ht="14.45" customHeight="1">
      <c r="A17" s="220" t="s">
        <v>153</v>
      </c>
      <c r="B17" s="196"/>
      <c r="C17" s="196"/>
      <c r="D17" s="196"/>
      <c r="E17" s="196"/>
      <c r="F17" s="196"/>
      <c r="G17" s="196"/>
      <c r="H17" s="196"/>
      <c r="I17" s="196"/>
    </row>
    <row r="18" spans="1:1" s="44" customFormat="1" ht="14.45" customHeight="1">
      <c r="A18" s="233"/>
    </row>
    <row r="19" spans="1:1" s="44" customFormat="1" ht="14.45" customHeight="1">
      <c r="A19" s="196" t="s">
        <v>136</v>
      </c>
    </row>
    <row r="20" spans="1:1" s="44" customFormat="1" ht="14.45" customHeight="1">
      <c r="A20" s="196" t="s">
        <v>135</v>
      </c>
    </row>
    <row r="21" spans="1:1" s="44" customFormat="1" ht="14.45" customHeight="1">
      <c r="A21" s="218" t="s">
        <v>137</v>
      </c>
    </row>
    <row r="22" spans="1:1" s="44" customFormat="1" ht="14.45" customHeight="1">
      <c r="A22" s="218"/>
    </row>
    <row r="23" spans="1:9" s="1" customFormat="1" ht="14.45" customHeight="1">
      <c r="A23" s="235" t="s">
        <v>155</v>
      </c>
      <c r="B23" s="196"/>
      <c r="C23" s="196"/>
      <c r="D23" s="196"/>
      <c r="E23" s="196"/>
      <c r="F23" s="196"/>
      <c r="G23" s="196"/>
      <c r="H23" s="196"/>
      <c r="I23" s="196"/>
    </row>
    <row r="24" spans="1:9" s="1" customFormat="1" ht="14.45" customHeight="1">
      <c r="A24" s="234" t="s">
        <v>154</v>
      </c>
      <c r="B24" s="196"/>
      <c r="C24" s="196"/>
      <c r="D24" s="196"/>
      <c r="E24" s="196"/>
      <c r="F24" s="196"/>
      <c r="G24" s="196"/>
      <c r="H24" s="196"/>
      <c r="I24" s="196"/>
    </row>
    <row r="25" spans="1:9" s="1" customFormat="1" ht="14.45" customHeight="1">
      <c r="A25" s="235" t="s">
        <v>157</v>
      </c>
      <c r="B25" s="196"/>
      <c r="C25" s="196"/>
      <c r="D25" s="196"/>
      <c r="E25" s="196"/>
      <c r="F25" s="196"/>
      <c r="G25" s="196"/>
      <c r="H25" s="196"/>
      <c r="I25" s="196"/>
    </row>
    <row r="26" spans="1:9" s="1" customFormat="1" ht="14.45" customHeight="1">
      <c r="A26" s="235" t="s">
        <v>156</v>
      </c>
      <c r="B26" s="196"/>
      <c r="C26" s="196"/>
      <c r="D26" s="196"/>
      <c r="E26" s="196"/>
      <c r="F26" s="196"/>
      <c r="G26" s="196"/>
      <c r="H26" s="196"/>
      <c r="I26" s="196"/>
    </row>
    <row r="27" spans="1:9" s="1" customFormat="1" ht="14.45" customHeight="1">
      <c r="A27" s="235"/>
      <c r="B27" s="196"/>
      <c r="C27" s="196"/>
      <c r="D27" s="196"/>
      <c r="E27" s="196"/>
      <c r="F27" s="196"/>
      <c r="G27" s="196"/>
      <c r="H27" s="196"/>
      <c r="I27" s="196"/>
    </row>
    <row r="28" spans="1:1" ht="15.75">
      <c r="A28" s="211"/>
    </row>
    <row r="29" spans="1:1" s="1" customFormat="1" ht="15.75">
      <c r="A29" s="212" t="s">
        <v>28</v>
      </c>
    </row>
    <row r="30" spans="1:1" ht="15.75">
      <c r="A30" s="211" t="s">
        <v>117</v>
      </c>
    </row>
    <row r="31" spans="1:1" ht="15.75">
      <c r="A31" s="211" t="s">
        <v>146</v>
      </c>
    </row>
    <row r="32" spans="1:1" ht="15.75">
      <c r="A32" s="219" t="s">
        <v>118</v>
      </c>
    </row>
    <row r="35" spans="1:1" ht="15.75">
      <c r="A35" s="218"/>
    </row>
    <row r="37" spans="1:1" ht="15.75">
      <c r="A37" s="218"/>
    </row>
    <row r="38" spans="1:1" ht="15.75">
      <c r="A38" s="218"/>
    </row>
    <row r="39" spans="1:1" ht="15.75">
      <c r="A39" s="218"/>
    </row>
  </sheetData>
  <pageMargins left="0.25" right="0.25" top="0.75" bottom="0.75" header="0.3" footer="0.3"/>
  <pageSetup orientation="landscape" scale="82" r:id="rId1"/>
  <headerFooter>
    <oddFooter>&amp;L&amp;Z&amp;F\&amp;A&amp;R&amp;D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BCEFD-6DCB-4A94-9DA7-0EF7E848680B}">
  <sheetPr>
    <pageSetUpPr fitToPage="1"/>
  </sheetPr>
  <dimension ref="A1:R21"/>
  <sheetViews>
    <sheetView zoomScale="80" zoomScaleNormal="80" workbookViewId="0" topLeftCell="A1"/>
  </sheetViews>
  <sheetFormatPr defaultRowHeight="15.75"/>
  <cols>
    <col min="1" max="1" width="31.75" style="23" bestFit="1" customWidth="1"/>
    <col min="2" max="2" width="42.125" style="23" customWidth="1"/>
    <col min="3" max="3" width="27.25" style="23" customWidth="1"/>
    <col min="4" max="4" width="32.25" style="23" customWidth="1"/>
    <col min="5" max="5" width="20.625" style="23" customWidth="1"/>
    <col min="6" max="6" width="26.75" style="23" customWidth="1"/>
    <col min="7" max="7" width="20.625" style="23" customWidth="1"/>
    <col min="8" max="8" width="23.125" style="23" customWidth="1"/>
    <col min="9" max="31" width="20.625" style="1" customWidth="1"/>
    <col min="32" max="254" width="8.875" style="1"/>
    <col min="255" max="255" width="13.625" style="1" customWidth="1"/>
    <col min="256" max="256" width="14.375" style="1" customWidth="1"/>
    <col min="257" max="257" width="27.625" style="1" customWidth="1"/>
    <col min="258" max="258" width="19.125" style="1" customWidth="1"/>
    <col min="259" max="259" width="23.375" style="1" customWidth="1"/>
    <col min="260" max="260" width="20.625" style="1" customWidth="1"/>
    <col min="261" max="261" width="23.125" style="1" customWidth="1"/>
    <col min="262" max="262" width="24" style="1" customWidth="1"/>
    <col min="263" max="263" width="17" style="1" customWidth="1"/>
    <col min="264" max="264" width="8.875" style="1"/>
    <col min="265" max="265" width="16" style="1" customWidth="1"/>
    <col min="266" max="266" width="16.75" style="1" customWidth="1"/>
    <col min="267" max="267" width="13.375" style="1" customWidth="1"/>
    <col min="268" max="510" width="8.875" style="1"/>
    <col min="511" max="511" width="13.625" style="1" customWidth="1"/>
    <col min="512" max="512" width="14.375" style="1" customWidth="1"/>
    <col min="513" max="513" width="27.625" style="1" customWidth="1"/>
    <col min="514" max="514" width="19.125" style="1" customWidth="1"/>
    <col min="515" max="515" width="23.375" style="1" customWidth="1"/>
    <col min="516" max="516" width="20.625" style="1" customWidth="1"/>
    <col min="517" max="517" width="23.125" style="1" customWidth="1"/>
    <col min="518" max="518" width="24" style="1" customWidth="1"/>
    <col min="519" max="519" width="17" style="1" customWidth="1"/>
    <col min="520" max="520" width="8.875" style="1"/>
    <col min="521" max="521" width="16" style="1" customWidth="1"/>
    <col min="522" max="522" width="16.75" style="1" customWidth="1"/>
    <col min="523" max="523" width="13.375" style="1" customWidth="1"/>
    <col min="524" max="766" width="8.875" style="1"/>
    <col min="767" max="767" width="13.625" style="1" customWidth="1"/>
    <col min="768" max="768" width="14.375" style="1" customWidth="1"/>
    <col min="769" max="769" width="27.625" style="1" customWidth="1"/>
    <col min="770" max="770" width="19.125" style="1" customWidth="1"/>
    <col min="771" max="771" width="23.375" style="1" customWidth="1"/>
    <col min="772" max="772" width="20.625" style="1" customWidth="1"/>
    <col min="773" max="773" width="23.125" style="1" customWidth="1"/>
    <col min="774" max="774" width="24" style="1" customWidth="1"/>
    <col min="775" max="775" width="17" style="1" customWidth="1"/>
    <col min="776" max="776" width="8.875" style="1"/>
    <col min="777" max="777" width="16" style="1" customWidth="1"/>
    <col min="778" max="778" width="16.75" style="1" customWidth="1"/>
    <col min="779" max="779" width="13.375" style="1" customWidth="1"/>
    <col min="780" max="1022" width="8.875" style="1"/>
    <col min="1023" max="1023" width="13.625" style="1" customWidth="1"/>
    <col min="1024" max="1024" width="14.375" style="1" customWidth="1"/>
    <col min="1025" max="1025" width="27.625" style="1" customWidth="1"/>
    <col min="1026" max="1026" width="19.125" style="1" customWidth="1"/>
    <col min="1027" max="1027" width="23.375" style="1" customWidth="1"/>
    <col min="1028" max="1028" width="20.625" style="1" customWidth="1"/>
    <col min="1029" max="1029" width="23.125" style="1" customWidth="1"/>
    <col min="1030" max="1030" width="24" style="1" customWidth="1"/>
    <col min="1031" max="1031" width="17" style="1" customWidth="1"/>
    <col min="1032" max="1032" width="8.875" style="1"/>
    <col min="1033" max="1033" width="16" style="1" customWidth="1"/>
    <col min="1034" max="1034" width="16.75" style="1" customWidth="1"/>
    <col min="1035" max="1035" width="13.375" style="1" customWidth="1"/>
    <col min="1036" max="1278" width="8.875" style="1"/>
    <col min="1279" max="1279" width="13.625" style="1" customWidth="1"/>
    <col min="1280" max="1280" width="14.375" style="1" customWidth="1"/>
    <col min="1281" max="1281" width="27.625" style="1" customWidth="1"/>
    <col min="1282" max="1282" width="19.125" style="1" customWidth="1"/>
    <col min="1283" max="1283" width="23.375" style="1" customWidth="1"/>
    <col min="1284" max="1284" width="20.625" style="1" customWidth="1"/>
    <col min="1285" max="1285" width="23.125" style="1" customWidth="1"/>
    <col min="1286" max="1286" width="24" style="1" customWidth="1"/>
    <col min="1287" max="1287" width="17" style="1" customWidth="1"/>
    <col min="1288" max="1288" width="8.875" style="1"/>
    <col min="1289" max="1289" width="16" style="1" customWidth="1"/>
    <col min="1290" max="1290" width="16.75" style="1" customWidth="1"/>
    <col min="1291" max="1291" width="13.375" style="1" customWidth="1"/>
    <col min="1292" max="1534" width="8.875" style="1"/>
    <col min="1535" max="1535" width="13.625" style="1" customWidth="1"/>
    <col min="1536" max="1536" width="14.375" style="1" customWidth="1"/>
    <col min="1537" max="1537" width="27.625" style="1" customWidth="1"/>
    <col min="1538" max="1538" width="19.125" style="1" customWidth="1"/>
    <col min="1539" max="1539" width="23.375" style="1" customWidth="1"/>
    <col min="1540" max="1540" width="20.625" style="1" customWidth="1"/>
    <col min="1541" max="1541" width="23.125" style="1" customWidth="1"/>
    <col min="1542" max="1542" width="24" style="1" customWidth="1"/>
    <col min="1543" max="1543" width="17" style="1" customWidth="1"/>
    <col min="1544" max="1544" width="8.875" style="1"/>
    <col min="1545" max="1545" width="16" style="1" customWidth="1"/>
    <col min="1546" max="1546" width="16.75" style="1" customWidth="1"/>
    <col min="1547" max="1547" width="13.375" style="1" customWidth="1"/>
    <col min="1548" max="1790" width="8.875" style="1"/>
    <col min="1791" max="1791" width="13.625" style="1" customWidth="1"/>
    <col min="1792" max="1792" width="14.375" style="1" customWidth="1"/>
    <col min="1793" max="1793" width="27.625" style="1" customWidth="1"/>
    <col min="1794" max="1794" width="19.125" style="1" customWidth="1"/>
    <col min="1795" max="1795" width="23.375" style="1" customWidth="1"/>
    <col min="1796" max="1796" width="20.625" style="1" customWidth="1"/>
    <col min="1797" max="1797" width="23.125" style="1" customWidth="1"/>
    <col min="1798" max="1798" width="24" style="1" customWidth="1"/>
    <col min="1799" max="1799" width="17" style="1" customWidth="1"/>
    <col min="1800" max="1800" width="8.875" style="1"/>
    <col min="1801" max="1801" width="16" style="1" customWidth="1"/>
    <col min="1802" max="1802" width="16.75" style="1" customWidth="1"/>
    <col min="1803" max="1803" width="13.375" style="1" customWidth="1"/>
    <col min="1804" max="2046" width="8.875" style="1"/>
    <col min="2047" max="2047" width="13.625" style="1" customWidth="1"/>
    <col min="2048" max="2048" width="14.375" style="1" customWidth="1"/>
    <col min="2049" max="2049" width="27.625" style="1" customWidth="1"/>
    <col min="2050" max="2050" width="19.125" style="1" customWidth="1"/>
    <col min="2051" max="2051" width="23.375" style="1" customWidth="1"/>
    <col min="2052" max="2052" width="20.625" style="1" customWidth="1"/>
    <col min="2053" max="2053" width="23.125" style="1" customWidth="1"/>
    <col min="2054" max="2054" width="24" style="1" customWidth="1"/>
    <col min="2055" max="2055" width="17" style="1" customWidth="1"/>
    <col min="2056" max="2056" width="8.875" style="1"/>
    <col min="2057" max="2057" width="16" style="1" customWidth="1"/>
    <col min="2058" max="2058" width="16.75" style="1" customWidth="1"/>
    <col min="2059" max="2059" width="13.375" style="1" customWidth="1"/>
    <col min="2060" max="2302" width="8.875" style="1"/>
    <col min="2303" max="2303" width="13.625" style="1" customWidth="1"/>
    <col min="2304" max="2304" width="14.375" style="1" customWidth="1"/>
    <col min="2305" max="2305" width="27.625" style="1" customWidth="1"/>
    <col min="2306" max="2306" width="19.125" style="1" customWidth="1"/>
    <col min="2307" max="2307" width="23.375" style="1" customWidth="1"/>
    <col min="2308" max="2308" width="20.625" style="1" customWidth="1"/>
    <col min="2309" max="2309" width="23.125" style="1" customWidth="1"/>
    <col min="2310" max="2310" width="24" style="1" customWidth="1"/>
    <col min="2311" max="2311" width="17" style="1" customWidth="1"/>
    <col min="2312" max="2312" width="8.875" style="1"/>
    <col min="2313" max="2313" width="16" style="1" customWidth="1"/>
    <col min="2314" max="2314" width="16.75" style="1" customWidth="1"/>
    <col min="2315" max="2315" width="13.375" style="1" customWidth="1"/>
    <col min="2316" max="2558" width="8.875" style="1"/>
    <col min="2559" max="2559" width="13.625" style="1" customWidth="1"/>
    <col min="2560" max="2560" width="14.375" style="1" customWidth="1"/>
    <col min="2561" max="2561" width="27.625" style="1" customWidth="1"/>
    <col min="2562" max="2562" width="19.125" style="1" customWidth="1"/>
    <col min="2563" max="2563" width="23.375" style="1" customWidth="1"/>
    <col min="2564" max="2564" width="20.625" style="1" customWidth="1"/>
    <col min="2565" max="2565" width="23.125" style="1" customWidth="1"/>
    <col min="2566" max="2566" width="24" style="1" customWidth="1"/>
    <col min="2567" max="2567" width="17" style="1" customWidth="1"/>
    <col min="2568" max="2568" width="8.875" style="1"/>
    <col min="2569" max="2569" width="16" style="1" customWidth="1"/>
    <col min="2570" max="2570" width="16.75" style="1" customWidth="1"/>
    <col min="2571" max="2571" width="13.375" style="1" customWidth="1"/>
    <col min="2572" max="2814" width="8.875" style="1"/>
    <col min="2815" max="2815" width="13.625" style="1" customWidth="1"/>
    <col min="2816" max="2816" width="14.375" style="1" customWidth="1"/>
    <col min="2817" max="2817" width="27.625" style="1" customWidth="1"/>
    <col min="2818" max="2818" width="19.125" style="1" customWidth="1"/>
    <col min="2819" max="2819" width="23.375" style="1" customWidth="1"/>
    <col min="2820" max="2820" width="20.625" style="1" customWidth="1"/>
    <col min="2821" max="2821" width="23.125" style="1" customWidth="1"/>
    <col min="2822" max="2822" width="24" style="1" customWidth="1"/>
    <col min="2823" max="2823" width="17" style="1" customWidth="1"/>
    <col min="2824" max="2824" width="8.875" style="1"/>
    <col min="2825" max="2825" width="16" style="1" customWidth="1"/>
    <col min="2826" max="2826" width="16.75" style="1" customWidth="1"/>
    <col min="2827" max="2827" width="13.375" style="1" customWidth="1"/>
    <col min="2828" max="3070" width="8.875" style="1"/>
    <col min="3071" max="3071" width="13.625" style="1" customWidth="1"/>
    <col min="3072" max="3072" width="14.375" style="1" customWidth="1"/>
    <col min="3073" max="3073" width="27.625" style="1" customWidth="1"/>
    <col min="3074" max="3074" width="19.125" style="1" customWidth="1"/>
    <col min="3075" max="3075" width="23.375" style="1" customWidth="1"/>
    <col min="3076" max="3076" width="20.625" style="1" customWidth="1"/>
    <col min="3077" max="3077" width="23.125" style="1" customWidth="1"/>
    <col min="3078" max="3078" width="24" style="1" customWidth="1"/>
    <col min="3079" max="3079" width="17" style="1" customWidth="1"/>
    <col min="3080" max="3080" width="8.875" style="1"/>
    <col min="3081" max="3081" width="16" style="1" customWidth="1"/>
    <col min="3082" max="3082" width="16.75" style="1" customWidth="1"/>
    <col min="3083" max="3083" width="13.375" style="1" customWidth="1"/>
    <col min="3084" max="3326" width="8.875" style="1"/>
    <col min="3327" max="3327" width="13.625" style="1" customWidth="1"/>
    <col min="3328" max="3328" width="14.375" style="1" customWidth="1"/>
    <col min="3329" max="3329" width="27.625" style="1" customWidth="1"/>
    <col min="3330" max="3330" width="19.125" style="1" customWidth="1"/>
    <col min="3331" max="3331" width="23.375" style="1" customWidth="1"/>
    <col min="3332" max="3332" width="20.625" style="1" customWidth="1"/>
    <col min="3333" max="3333" width="23.125" style="1" customWidth="1"/>
    <col min="3334" max="3334" width="24" style="1" customWidth="1"/>
    <col min="3335" max="3335" width="17" style="1" customWidth="1"/>
    <col min="3336" max="3336" width="8.875" style="1"/>
    <col min="3337" max="3337" width="16" style="1" customWidth="1"/>
    <col min="3338" max="3338" width="16.75" style="1" customWidth="1"/>
    <col min="3339" max="3339" width="13.375" style="1" customWidth="1"/>
    <col min="3340" max="3582" width="8.875" style="1"/>
    <col min="3583" max="3583" width="13.625" style="1" customWidth="1"/>
    <col min="3584" max="3584" width="14.375" style="1" customWidth="1"/>
    <col min="3585" max="3585" width="27.625" style="1" customWidth="1"/>
    <col min="3586" max="3586" width="19.125" style="1" customWidth="1"/>
    <col min="3587" max="3587" width="23.375" style="1" customWidth="1"/>
    <col min="3588" max="3588" width="20.625" style="1" customWidth="1"/>
    <col min="3589" max="3589" width="23.125" style="1" customWidth="1"/>
    <col min="3590" max="3590" width="24" style="1" customWidth="1"/>
    <col min="3591" max="3591" width="17" style="1" customWidth="1"/>
    <col min="3592" max="3592" width="8.875" style="1"/>
    <col min="3593" max="3593" width="16" style="1" customWidth="1"/>
    <col min="3594" max="3594" width="16.75" style="1" customWidth="1"/>
    <col min="3595" max="3595" width="13.375" style="1" customWidth="1"/>
    <col min="3596" max="3838" width="8.875" style="1"/>
    <col min="3839" max="3839" width="13.625" style="1" customWidth="1"/>
    <col min="3840" max="3840" width="14.375" style="1" customWidth="1"/>
    <col min="3841" max="3841" width="27.625" style="1" customWidth="1"/>
    <col min="3842" max="3842" width="19.125" style="1" customWidth="1"/>
    <col min="3843" max="3843" width="23.375" style="1" customWidth="1"/>
    <col min="3844" max="3844" width="20.625" style="1" customWidth="1"/>
    <col min="3845" max="3845" width="23.125" style="1" customWidth="1"/>
    <col min="3846" max="3846" width="24" style="1" customWidth="1"/>
    <col min="3847" max="3847" width="17" style="1" customWidth="1"/>
    <col min="3848" max="3848" width="8.875" style="1"/>
    <col min="3849" max="3849" width="16" style="1" customWidth="1"/>
    <col min="3850" max="3850" width="16.75" style="1" customWidth="1"/>
    <col min="3851" max="3851" width="13.375" style="1" customWidth="1"/>
    <col min="3852" max="4094" width="8.875" style="1"/>
    <col min="4095" max="4095" width="13.625" style="1" customWidth="1"/>
    <col min="4096" max="4096" width="14.375" style="1" customWidth="1"/>
    <col min="4097" max="4097" width="27.625" style="1" customWidth="1"/>
    <col min="4098" max="4098" width="19.125" style="1" customWidth="1"/>
    <col min="4099" max="4099" width="23.375" style="1" customWidth="1"/>
    <col min="4100" max="4100" width="20.625" style="1" customWidth="1"/>
    <col min="4101" max="4101" width="23.125" style="1" customWidth="1"/>
    <col min="4102" max="4102" width="24" style="1" customWidth="1"/>
    <col min="4103" max="4103" width="17" style="1" customWidth="1"/>
    <col min="4104" max="4104" width="8.875" style="1"/>
    <col min="4105" max="4105" width="16" style="1" customWidth="1"/>
    <col min="4106" max="4106" width="16.75" style="1" customWidth="1"/>
    <col min="4107" max="4107" width="13.375" style="1" customWidth="1"/>
    <col min="4108" max="4350" width="8.875" style="1"/>
    <col min="4351" max="4351" width="13.625" style="1" customWidth="1"/>
    <col min="4352" max="4352" width="14.375" style="1" customWidth="1"/>
    <col min="4353" max="4353" width="27.625" style="1" customWidth="1"/>
    <col min="4354" max="4354" width="19.125" style="1" customWidth="1"/>
    <col min="4355" max="4355" width="23.375" style="1" customWidth="1"/>
    <col min="4356" max="4356" width="20.625" style="1" customWidth="1"/>
    <col min="4357" max="4357" width="23.125" style="1" customWidth="1"/>
    <col min="4358" max="4358" width="24" style="1" customWidth="1"/>
    <col min="4359" max="4359" width="17" style="1" customWidth="1"/>
    <col min="4360" max="4360" width="8.875" style="1"/>
    <col min="4361" max="4361" width="16" style="1" customWidth="1"/>
    <col min="4362" max="4362" width="16.75" style="1" customWidth="1"/>
    <col min="4363" max="4363" width="13.375" style="1" customWidth="1"/>
    <col min="4364" max="4606" width="8.875" style="1"/>
    <col min="4607" max="4607" width="13.625" style="1" customWidth="1"/>
    <col min="4608" max="4608" width="14.375" style="1" customWidth="1"/>
    <col min="4609" max="4609" width="27.625" style="1" customWidth="1"/>
    <col min="4610" max="4610" width="19.125" style="1" customWidth="1"/>
    <col min="4611" max="4611" width="23.375" style="1" customWidth="1"/>
    <col min="4612" max="4612" width="20.625" style="1" customWidth="1"/>
    <col min="4613" max="4613" width="23.125" style="1" customWidth="1"/>
    <col min="4614" max="4614" width="24" style="1" customWidth="1"/>
    <col min="4615" max="4615" width="17" style="1" customWidth="1"/>
    <col min="4616" max="4616" width="8.875" style="1"/>
    <col min="4617" max="4617" width="16" style="1" customWidth="1"/>
    <col min="4618" max="4618" width="16.75" style="1" customWidth="1"/>
    <col min="4619" max="4619" width="13.375" style="1" customWidth="1"/>
    <col min="4620" max="4862" width="8.875" style="1"/>
    <col min="4863" max="4863" width="13.625" style="1" customWidth="1"/>
    <col min="4864" max="4864" width="14.375" style="1" customWidth="1"/>
    <col min="4865" max="4865" width="27.625" style="1" customWidth="1"/>
    <col min="4866" max="4866" width="19.125" style="1" customWidth="1"/>
    <col min="4867" max="4867" width="23.375" style="1" customWidth="1"/>
    <col min="4868" max="4868" width="20.625" style="1" customWidth="1"/>
    <col min="4869" max="4869" width="23.125" style="1" customWidth="1"/>
    <col min="4870" max="4870" width="24" style="1" customWidth="1"/>
    <col min="4871" max="4871" width="17" style="1" customWidth="1"/>
    <col min="4872" max="4872" width="8.875" style="1"/>
    <col min="4873" max="4873" width="16" style="1" customWidth="1"/>
    <col min="4874" max="4874" width="16.75" style="1" customWidth="1"/>
    <col min="4875" max="4875" width="13.375" style="1" customWidth="1"/>
    <col min="4876" max="5118" width="8.875" style="1"/>
    <col min="5119" max="5119" width="13.625" style="1" customWidth="1"/>
    <col min="5120" max="5120" width="14.375" style="1" customWidth="1"/>
    <col min="5121" max="5121" width="27.625" style="1" customWidth="1"/>
    <col min="5122" max="5122" width="19.125" style="1" customWidth="1"/>
    <col min="5123" max="5123" width="23.375" style="1" customWidth="1"/>
    <col min="5124" max="5124" width="20.625" style="1" customWidth="1"/>
    <col min="5125" max="5125" width="23.125" style="1" customWidth="1"/>
    <col min="5126" max="5126" width="24" style="1" customWidth="1"/>
    <col min="5127" max="5127" width="17" style="1" customWidth="1"/>
    <col min="5128" max="5128" width="8.875" style="1"/>
    <col min="5129" max="5129" width="16" style="1" customWidth="1"/>
    <col min="5130" max="5130" width="16.75" style="1" customWidth="1"/>
    <col min="5131" max="5131" width="13.375" style="1" customWidth="1"/>
    <col min="5132" max="5374" width="8.875" style="1"/>
    <col min="5375" max="5375" width="13.625" style="1" customWidth="1"/>
    <col min="5376" max="5376" width="14.375" style="1" customWidth="1"/>
    <col min="5377" max="5377" width="27.625" style="1" customWidth="1"/>
    <col min="5378" max="5378" width="19.125" style="1" customWidth="1"/>
    <col min="5379" max="5379" width="23.375" style="1" customWidth="1"/>
    <col min="5380" max="5380" width="20.625" style="1" customWidth="1"/>
    <col min="5381" max="5381" width="23.125" style="1" customWidth="1"/>
    <col min="5382" max="5382" width="24" style="1" customWidth="1"/>
    <col min="5383" max="5383" width="17" style="1" customWidth="1"/>
    <col min="5384" max="5384" width="8.875" style="1"/>
    <col min="5385" max="5385" width="16" style="1" customWidth="1"/>
    <col min="5386" max="5386" width="16.75" style="1" customWidth="1"/>
    <col min="5387" max="5387" width="13.375" style="1" customWidth="1"/>
    <col min="5388" max="5630" width="8.875" style="1"/>
    <col min="5631" max="5631" width="13.625" style="1" customWidth="1"/>
    <col min="5632" max="5632" width="14.375" style="1" customWidth="1"/>
    <col min="5633" max="5633" width="27.625" style="1" customWidth="1"/>
    <col min="5634" max="5634" width="19.125" style="1" customWidth="1"/>
    <col min="5635" max="5635" width="23.375" style="1" customWidth="1"/>
    <col min="5636" max="5636" width="20.625" style="1" customWidth="1"/>
    <col min="5637" max="5637" width="23.125" style="1" customWidth="1"/>
    <col min="5638" max="5638" width="24" style="1" customWidth="1"/>
    <col min="5639" max="5639" width="17" style="1" customWidth="1"/>
    <col min="5640" max="5640" width="8.875" style="1"/>
    <col min="5641" max="5641" width="16" style="1" customWidth="1"/>
    <col min="5642" max="5642" width="16.75" style="1" customWidth="1"/>
    <col min="5643" max="5643" width="13.375" style="1" customWidth="1"/>
    <col min="5644" max="5886" width="8.875" style="1"/>
    <col min="5887" max="5887" width="13.625" style="1" customWidth="1"/>
    <col min="5888" max="5888" width="14.375" style="1" customWidth="1"/>
    <col min="5889" max="5889" width="27.625" style="1" customWidth="1"/>
    <col min="5890" max="5890" width="19.125" style="1" customWidth="1"/>
    <col min="5891" max="5891" width="23.375" style="1" customWidth="1"/>
    <col min="5892" max="5892" width="20.625" style="1" customWidth="1"/>
    <col min="5893" max="5893" width="23.125" style="1" customWidth="1"/>
    <col min="5894" max="5894" width="24" style="1" customWidth="1"/>
    <col min="5895" max="5895" width="17" style="1" customWidth="1"/>
    <col min="5896" max="5896" width="8.875" style="1"/>
    <col min="5897" max="5897" width="16" style="1" customWidth="1"/>
    <col min="5898" max="5898" width="16.75" style="1" customWidth="1"/>
    <col min="5899" max="5899" width="13.375" style="1" customWidth="1"/>
    <col min="5900" max="6142" width="8.875" style="1"/>
    <col min="6143" max="6143" width="13.625" style="1" customWidth="1"/>
    <col min="6144" max="6144" width="14.375" style="1" customWidth="1"/>
    <col min="6145" max="6145" width="27.625" style="1" customWidth="1"/>
    <col min="6146" max="6146" width="19.125" style="1" customWidth="1"/>
    <col min="6147" max="6147" width="23.375" style="1" customWidth="1"/>
    <col min="6148" max="6148" width="20.625" style="1" customWidth="1"/>
    <col min="6149" max="6149" width="23.125" style="1" customWidth="1"/>
    <col min="6150" max="6150" width="24" style="1" customWidth="1"/>
    <col min="6151" max="6151" width="17" style="1" customWidth="1"/>
    <col min="6152" max="6152" width="8.875" style="1"/>
    <col min="6153" max="6153" width="16" style="1" customWidth="1"/>
    <col min="6154" max="6154" width="16.75" style="1" customWidth="1"/>
    <col min="6155" max="6155" width="13.375" style="1" customWidth="1"/>
    <col min="6156" max="6398" width="8.875" style="1"/>
    <col min="6399" max="6399" width="13.625" style="1" customWidth="1"/>
    <col min="6400" max="6400" width="14.375" style="1" customWidth="1"/>
    <col min="6401" max="6401" width="27.625" style="1" customWidth="1"/>
    <col min="6402" max="6402" width="19.125" style="1" customWidth="1"/>
    <col min="6403" max="6403" width="23.375" style="1" customWidth="1"/>
    <col min="6404" max="6404" width="20.625" style="1" customWidth="1"/>
    <col min="6405" max="6405" width="23.125" style="1" customWidth="1"/>
    <col min="6406" max="6406" width="24" style="1" customWidth="1"/>
    <col min="6407" max="6407" width="17" style="1" customWidth="1"/>
    <col min="6408" max="6408" width="8.875" style="1"/>
    <col min="6409" max="6409" width="16" style="1" customWidth="1"/>
    <col min="6410" max="6410" width="16.75" style="1" customWidth="1"/>
    <col min="6411" max="6411" width="13.375" style="1" customWidth="1"/>
    <col min="6412" max="6654" width="8.875" style="1"/>
    <col min="6655" max="6655" width="13.625" style="1" customWidth="1"/>
    <col min="6656" max="6656" width="14.375" style="1" customWidth="1"/>
    <col min="6657" max="6657" width="27.625" style="1" customWidth="1"/>
    <col min="6658" max="6658" width="19.125" style="1" customWidth="1"/>
    <col min="6659" max="6659" width="23.375" style="1" customWidth="1"/>
    <col min="6660" max="6660" width="20.625" style="1" customWidth="1"/>
    <col min="6661" max="6661" width="23.125" style="1" customWidth="1"/>
    <col min="6662" max="6662" width="24" style="1" customWidth="1"/>
    <col min="6663" max="6663" width="17" style="1" customWidth="1"/>
    <col min="6664" max="6664" width="8.875" style="1"/>
    <col min="6665" max="6665" width="16" style="1" customWidth="1"/>
    <col min="6666" max="6666" width="16.75" style="1" customWidth="1"/>
    <col min="6667" max="6667" width="13.375" style="1" customWidth="1"/>
    <col min="6668" max="6910" width="8.875" style="1"/>
    <col min="6911" max="6911" width="13.625" style="1" customWidth="1"/>
    <col min="6912" max="6912" width="14.375" style="1" customWidth="1"/>
    <col min="6913" max="6913" width="27.625" style="1" customWidth="1"/>
    <col min="6914" max="6914" width="19.125" style="1" customWidth="1"/>
    <col min="6915" max="6915" width="23.375" style="1" customWidth="1"/>
    <col min="6916" max="6916" width="20.625" style="1" customWidth="1"/>
    <col min="6917" max="6917" width="23.125" style="1" customWidth="1"/>
    <col min="6918" max="6918" width="24" style="1" customWidth="1"/>
    <col min="6919" max="6919" width="17" style="1" customWidth="1"/>
    <col min="6920" max="6920" width="8.875" style="1"/>
    <col min="6921" max="6921" width="16" style="1" customWidth="1"/>
    <col min="6922" max="6922" width="16.75" style="1" customWidth="1"/>
    <col min="6923" max="6923" width="13.375" style="1" customWidth="1"/>
    <col min="6924" max="7166" width="8.875" style="1"/>
    <col min="7167" max="7167" width="13.625" style="1" customWidth="1"/>
    <col min="7168" max="7168" width="14.375" style="1" customWidth="1"/>
    <col min="7169" max="7169" width="27.625" style="1" customWidth="1"/>
    <col min="7170" max="7170" width="19.125" style="1" customWidth="1"/>
    <col min="7171" max="7171" width="23.375" style="1" customWidth="1"/>
    <col min="7172" max="7172" width="20.625" style="1" customWidth="1"/>
    <col min="7173" max="7173" width="23.125" style="1" customWidth="1"/>
    <col min="7174" max="7174" width="24" style="1" customWidth="1"/>
    <col min="7175" max="7175" width="17" style="1" customWidth="1"/>
    <col min="7176" max="7176" width="8.875" style="1"/>
    <col min="7177" max="7177" width="16" style="1" customWidth="1"/>
    <col min="7178" max="7178" width="16.75" style="1" customWidth="1"/>
    <col min="7179" max="7179" width="13.375" style="1" customWidth="1"/>
    <col min="7180" max="7422" width="8.875" style="1"/>
    <col min="7423" max="7423" width="13.625" style="1" customWidth="1"/>
    <col min="7424" max="7424" width="14.375" style="1" customWidth="1"/>
    <col min="7425" max="7425" width="27.625" style="1" customWidth="1"/>
    <col min="7426" max="7426" width="19.125" style="1" customWidth="1"/>
    <col min="7427" max="7427" width="23.375" style="1" customWidth="1"/>
    <col min="7428" max="7428" width="20.625" style="1" customWidth="1"/>
    <col min="7429" max="7429" width="23.125" style="1" customWidth="1"/>
    <col min="7430" max="7430" width="24" style="1" customWidth="1"/>
    <col min="7431" max="7431" width="17" style="1" customWidth="1"/>
    <col min="7432" max="7432" width="8.875" style="1"/>
    <col min="7433" max="7433" width="16" style="1" customWidth="1"/>
    <col min="7434" max="7434" width="16.75" style="1" customWidth="1"/>
    <col min="7435" max="7435" width="13.375" style="1" customWidth="1"/>
    <col min="7436" max="7678" width="8.875" style="1"/>
    <col min="7679" max="7679" width="13.625" style="1" customWidth="1"/>
    <col min="7680" max="7680" width="14.375" style="1" customWidth="1"/>
    <col min="7681" max="7681" width="27.625" style="1" customWidth="1"/>
    <col min="7682" max="7682" width="19.125" style="1" customWidth="1"/>
    <col min="7683" max="7683" width="23.375" style="1" customWidth="1"/>
    <col min="7684" max="7684" width="20.625" style="1" customWidth="1"/>
    <col min="7685" max="7685" width="23.125" style="1" customWidth="1"/>
    <col min="7686" max="7686" width="24" style="1" customWidth="1"/>
    <col min="7687" max="7687" width="17" style="1" customWidth="1"/>
    <col min="7688" max="7688" width="8.875" style="1"/>
    <col min="7689" max="7689" width="16" style="1" customWidth="1"/>
    <col min="7690" max="7690" width="16.75" style="1" customWidth="1"/>
    <col min="7691" max="7691" width="13.375" style="1" customWidth="1"/>
    <col min="7692" max="7934" width="8.875" style="1"/>
    <col min="7935" max="7935" width="13.625" style="1" customWidth="1"/>
    <col min="7936" max="7936" width="14.375" style="1" customWidth="1"/>
    <col min="7937" max="7937" width="27.625" style="1" customWidth="1"/>
    <col min="7938" max="7938" width="19.125" style="1" customWidth="1"/>
    <col min="7939" max="7939" width="23.375" style="1" customWidth="1"/>
    <col min="7940" max="7940" width="20.625" style="1" customWidth="1"/>
    <col min="7941" max="7941" width="23.125" style="1" customWidth="1"/>
    <col min="7942" max="7942" width="24" style="1" customWidth="1"/>
    <col min="7943" max="7943" width="17" style="1" customWidth="1"/>
    <col min="7944" max="7944" width="8.875" style="1"/>
    <col min="7945" max="7945" width="16" style="1" customWidth="1"/>
    <col min="7946" max="7946" width="16.75" style="1" customWidth="1"/>
    <col min="7947" max="7947" width="13.375" style="1" customWidth="1"/>
    <col min="7948" max="8190" width="8.875" style="1"/>
    <col min="8191" max="8191" width="13.625" style="1" customWidth="1"/>
    <col min="8192" max="8192" width="14.375" style="1" customWidth="1"/>
    <col min="8193" max="8193" width="27.625" style="1" customWidth="1"/>
    <col min="8194" max="8194" width="19.125" style="1" customWidth="1"/>
    <col min="8195" max="8195" width="23.375" style="1" customWidth="1"/>
    <col min="8196" max="8196" width="20.625" style="1" customWidth="1"/>
    <col min="8197" max="8197" width="23.125" style="1" customWidth="1"/>
    <col min="8198" max="8198" width="24" style="1" customWidth="1"/>
    <col min="8199" max="8199" width="17" style="1" customWidth="1"/>
    <col min="8200" max="8200" width="8.875" style="1"/>
    <col min="8201" max="8201" width="16" style="1" customWidth="1"/>
    <col min="8202" max="8202" width="16.75" style="1" customWidth="1"/>
    <col min="8203" max="8203" width="13.375" style="1" customWidth="1"/>
    <col min="8204" max="8446" width="8.875" style="1"/>
    <col min="8447" max="8447" width="13.625" style="1" customWidth="1"/>
    <col min="8448" max="8448" width="14.375" style="1" customWidth="1"/>
    <col min="8449" max="8449" width="27.625" style="1" customWidth="1"/>
    <col min="8450" max="8450" width="19.125" style="1" customWidth="1"/>
    <col min="8451" max="8451" width="23.375" style="1" customWidth="1"/>
    <col min="8452" max="8452" width="20.625" style="1" customWidth="1"/>
    <col min="8453" max="8453" width="23.125" style="1" customWidth="1"/>
    <col min="8454" max="8454" width="24" style="1" customWidth="1"/>
    <col min="8455" max="8455" width="17" style="1" customWidth="1"/>
    <col min="8456" max="8456" width="8.875" style="1"/>
    <col min="8457" max="8457" width="16" style="1" customWidth="1"/>
    <col min="8458" max="8458" width="16.75" style="1" customWidth="1"/>
    <col min="8459" max="8459" width="13.375" style="1" customWidth="1"/>
    <col min="8460" max="8702" width="8.875" style="1"/>
    <col min="8703" max="8703" width="13.625" style="1" customWidth="1"/>
    <col min="8704" max="8704" width="14.375" style="1" customWidth="1"/>
    <col min="8705" max="8705" width="27.625" style="1" customWidth="1"/>
    <col min="8706" max="8706" width="19.125" style="1" customWidth="1"/>
    <col min="8707" max="8707" width="23.375" style="1" customWidth="1"/>
    <col min="8708" max="8708" width="20.625" style="1" customWidth="1"/>
    <col min="8709" max="8709" width="23.125" style="1" customWidth="1"/>
    <col min="8710" max="8710" width="24" style="1" customWidth="1"/>
    <col min="8711" max="8711" width="17" style="1" customWidth="1"/>
    <col min="8712" max="8712" width="8.875" style="1"/>
    <col min="8713" max="8713" width="16" style="1" customWidth="1"/>
    <col min="8714" max="8714" width="16.75" style="1" customWidth="1"/>
    <col min="8715" max="8715" width="13.375" style="1" customWidth="1"/>
    <col min="8716" max="8958" width="8.875" style="1"/>
    <col min="8959" max="8959" width="13.625" style="1" customWidth="1"/>
    <col min="8960" max="8960" width="14.375" style="1" customWidth="1"/>
    <col min="8961" max="8961" width="27.625" style="1" customWidth="1"/>
    <col min="8962" max="8962" width="19.125" style="1" customWidth="1"/>
    <col min="8963" max="8963" width="23.375" style="1" customWidth="1"/>
    <col min="8964" max="8964" width="20.625" style="1" customWidth="1"/>
    <col min="8965" max="8965" width="23.125" style="1" customWidth="1"/>
    <col min="8966" max="8966" width="24" style="1" customWidth="1"/>
    <col min="8967" max="8967" width="17" style="1" customWidth="1"/>
    <col min="8968" max="8968" width="8.875" style="1"/>
    <col min="8969" max="8969" width="16" style="1" customWidth="1"/>
    <col min="8970" max="8970" width="16.75" style="1" customWidth="1"/>
    <col min="8971" max="8971" width="13.375" style="1" customWidth="1"/>
    <col min="8972" max="9214" width="8.875" style="1"/>
    <col min="9215" max="9215" width="13.625" style="1" customWidth="1"/>
    <col min="9216" max="9216" width="14.375" style="1" customWidth="1"/>
    <col min="9217" max="9217" width="27.625" style="1" customWidth="1"/>
    <col min="9218" max="9218" width="19.125" style="1" customWidth="1"/>
    <col min="9219" max="9219" width="23.375" style="1" customWidth="1"/>
    <col min="9220" max="9220" width="20.625" style="1" customWidth="1"/>
    <col min="9221" max="9221" width="23.125" style="1" customWidth="1"/>
    <col min="9222" max="9222" width="24" style="1" customWidth="1"/>
    <col min="9223" max="9223" width="17" style="1" customWidth="1"/>
    <col min="9224" max="9224" width="8.875" style="1"/>
    <col min="9225" max="9225" width="16" style="1" customWidth="1"/>
    <col min="9226" max="9226" width="16.75" style="1" customWidth="1"/>
    <col min="9227" max="9227" width="13.375" style="1" customWidth="1"/>
    <col min="9228" max="9470" width="8.875" style="1"/>
    <col min="9471" max="9471" width="13.625" style="1" customWidth="1"/>
    <col min="9472" max="9472" width="14.375" style="1" customWidth="1"/>
    <col min="9473" max="9473" width="27.625" style="1" customWidth="1"/>
    <col min="9474" max="9474" width="19.125" style="1" customWidth="1"/>
    <col min="9475" max="9475" width="23.375" style="1" customWidth="1"/>
    <col min="9476" max="9476" width="20.625" style="1" customWidth="1"/>
    <col min="9477" max="9477" width="23.125" style="1" customWidth="1"/>
    <col min="9478" max="9478" width="24" style="1" customWidth="1"/>
    <col min="9479" max="9479" width="17" style="1" customWidth="1"/>
    <col min="9480" max="9480" width="8.875" style="1"/>
    <col min="9481" max="9481" width="16" style="1" customWidth="1"/>
    <col min="9482" max="9482" width="16.75" style="1" customWidth="1"/>
    <col min="9483" max="9483" width="13.375" style="1" customWidth="1"/>
    <col min="9484" max="9726" width="8.875" style="1"/>
    <col min="9727" max="9727" width="13.625" style="1" customWidth="1"/>
    <col min="9728" max="9728" width="14.375" style="1" customWidth="1"/>
    <col min="9729" max="9729" width="27.625" style="1" customWidth="1"/>
    <col min="9730" max="9730" width="19.125" style="1" customWidth="1"/>
    <col min="9731" max="9731" width="23.375" style="1" customWidth="1"/>
    <col min="9732" max="9732" width="20.625" style="1" customWidth="1"/>
    <col min="9733" max="9733" width="23.125" style="1" customWidth="1"/>
    <col min="9734" max="9734" width="24" style="1" customWidth="1"/>
    <col min="9735" max="9735" width="17" style="1" customWidth="1"/>
    <col min="9736" max="9736" width="8.875" style="1"/>
    <col min="9737" max="9737" width="16" style="1" customWidth="1"/>
    <col min="9738" max="9738" width="16.75" style="1" customWidth="1"/>
    <col min="9739" max="9739" width="13.375" style="1" customWidth="1"/>
    <col min="9740" max="9982" width="8.875" style="1"/>
    <col min="9983" max="9983" width="13.625" style="1" customWidth="1"/>
    <col min="9984" max="9984" width="14.375" style="1" customWidth="1"/>
    <col min="9985" max="9985" width="27.625" style="1" customWidth="1"/>
    <col min="9986" max="9986" width="19.125" style="1" customWidth="1"/>
    <col min="9987" max="9987" width="23.375" style="1" customWidth="1"/>
    <col min="9988" max="9988" width="20.625" style="1" customWidth="1"/>
    <col min="9989" max="9989" width="23.125" style="1" customWidth="1"/>
    <col min="9990" max="9990" width="24" style="1" customWidth="1"/>
    <col min="9991" max="9991" width="17" style="1" customWidth="1"/>
    <col min="9992" max="9992" width="8.875" style="1"/>
    <col min="9993" max="9993" width="16" style="1" customWidth="1"/>
    <col min="9994" max="9994" width="16.75" style="1" customWidth="1"/>
    <col min="9995" max="9995" width="13.375" style="1" customWidth="1"/>
    <col min="9996" max="10238" width="8.875" style="1"/>
    <col min="10239" max="10239" width="13.625" style="1" customWidth="1"/>
    <col min="10240" max="10240" width="14.375" style="1" customWidth="1"/>
    <col min="10241" max="10241" width="27.625" style="1" customWidth="1"/>
    <col min="10242" max="10242" width="19.125" style="1" customWidth="1"/>
    <col min="10243" max="10243" width="23.375" style="1" customWidth="1"/>
    <col min="10244" max="10244" width="20.625" style="1" customWidth="1"/>
    <col min="10245" max="10245" width="23.125" style="1" customWidth="1"/>
    <col min="10246" max="10246" width="24" style="1" customWidth="1"/>
    <col min="10247" max="10247" width="17" style="1" customWidth="1"/>
    <col min="10248" max="10248" width="8.875" style="1"/>
    <col min="10249" max="10249" width="16" style="1" customWidth="1"/>
    <col min="10250" max="10250" width="16.75" style="1" customWidth="1"/>
    <col min="10251" max="10251" width="13.375" style="1" customWidth="1"/>
    <col min="10252" max="10494" width="8.875" style="1"/>
    <col min="10495" max="10495" width="13.625" style="1" customWidth="1"/>
    <col min="10496" max="10496" width="14.375" style="1" customWidth="1"/>
    <col min="10497" max="10497" width="27.625" style="1" customWidth="1"/>
    <col min="10498" max="10498" width="19.125" style="1" customWidth="1"/>
    <col min="10499" max="10499" width="23.375" style="1" customWidth="1"/>
    <col min="10500" max="10500" width="20.625" style="1" customWidth="1"/>
    <col min="10501" max="10501" width="23.125" style="1" customWidth="1"/>
    <col min="10502" max="10502" width="24" style="1" customWidth="1"/>
    <col min="10503" max="10503" width="17" style="1" customWidth="1"/>
    <col min="10504" max="10504" width="8.875" style="1"/>
    <col min="10505" max="10505" width="16" style="1" customWidth="1"/>
    <col min="10506" max="10506" width="16.75" style="1" customWidth="1"/>
    <col min="10507" max="10507" width="13.375" style="1" customWidth="1"/>
    <col min="10508" max="10750" width="8.875" style="1"/>
    <col min="10751" max="10751" width="13.625" style="1" customWidth="1"/>
    <col min="10752" max="10752" width="14.375" style="1" customWidth="1"/>
    <col min="10753" max="10753" width="27.625" style="1" customWidth="1"/>
    <col min="10754" max="10754" width="19.125" style="1" customWidth="1"/>
    <col min="10755" max="10755" width="23.375" style="1" customWidth="1"/>
    <col min="10756" max="10756" width="20.625" style="1" customWidth="1"/>
    <col min="10757" max="10757" width="23.125" style="1" customWidth="1"/>
    <col min="10758" max="10758" width="24" style="1" customWidth="1"/>
    <col min="10759" max="10759" width="17" style="1" customWidth="1"/>
    <col min="10760" max="10760" width="8.875" style="1"/>
    <col min="10761" max="10761" width="16" style="1" customWidth="1"/>
    <col min="10762" max="10762" width="16.75" style="1" customWidth="1"/>
    <col min="10763" max="10763" width="13.375" style="1" customWidth="1"/>
    <col min="10764" max="11006" width="8.875" style="1"/>
    <col min="11007" max="11007" width="13.625" style="1" customWidth="1"/>
    <col min="11008" max="11008" width="14.375" style="1" customWidth="1"/>
    <col min="11009" max="11009" width="27.625" style="1" customWidth="1"/>
    <col min="11010" max="11010" width="19.125" style="1" customWidth="1"/>
    <col min="11011" max="11011" width="23.375" style="1" customWidth="1"/>
    <col min="11012" max="11012" width="20.625" style="1" customWidth="1"/>
    <col min="11013" max="11013" width="23.125" style="1" customWidth="1"/>
    <col min="11014" max="11014" width="24" style="1" customWidth="1"/>
    <col min="11015" max="11015" width="17" style="1" customWidth="1"/>
    <col min="11016" max="11016" width="8.875" style="1"/>
    <col min="11017" max="11017" width="16" style="1" customWidth="1"/>
    <col min="11018" max="11018" width="16.75" style="1" customWidth="1"/>
    <col min="11019" max="11019" width="13.375" style="1" customWidth="1"/>
    <col min="11020" max="11262" width="8.875" style="1"/>
    <col min="11263" max="11263" width="13.625" style="1" customWidth="1"/>
    <col min="11264" max="11264" width="14.375" style="1" customWidth="1"/>
    <col min="11265" max="11265" width="27.625" style="1" customWidth="1"/>
    <col min="11266" max="11266" width="19.125" style="1" customWidth="1"/>
    <col min="11267" max="11267" width="23.375" style="1" customWidth="1"/>
    <col min="11268" max="11268" width="20.625" style="1" customWidth="1"/>
    <col min="11269" max="11269" width="23.125" style="1" customWidth="1"/>
    <col min="11270" max="11270" width="24" style="1" customWidth="1"/>
    <col min="11271" max="11271" width="17" style="1" customWidth="1"/>
    <col min="11272" max="11272" width="8.875" style="1"/>
    <col min="11273" max="11273" width="16" style="1" customWidth="1"/>
    <col min="11274" max="11274" width="16.75" style="1" customWidth="1"/>
    <col min="11275" max="11275" width="13.375" style="1" customWidth="1"/>
    <col min="11276" max="11518" width="8.875" style="1"/>
    <col min="11519" max="11519" width="13.625" style="1" customWidth="1"/>
    <col min="11520" max="11520" width="14.375" style="1" customWidth="1"/>
    <col min="11521" max="11521" width="27.625" style="1" customWidth="1"/>
    <col min="11522" max="11522" width="19.125" style="1" customWidth="1"/>
    <col min="11523" max="11523" width="23.375" style="1" customWidth="1"/>
    <col min="11524" max="11524" width="20.625" style="1" customWidth="1"/>
    <col min="11525" max="11525" width="23.125" style="1" customWidth="1"/>
    <col min="11526" max="11526" width="24" style="1" customWidth="1"/>
    <col min="11527" max="11527" width="17" style="1" customWidth="1"/>
    <col min="11528" max="11528" width="8.875" style="1"/>
    <col min="11529" max="11529" width="16" style="1" customWidth="1"/>
    <col min="11530" max="11530" width="16.75" style="1" customWidth="1"/>
    <col min="11531" max="11531" width="13.375" style="1" customWidth="1"/>
    <col min="11532" max="11774" width="8.875" style="1"/>
    <col min="11775" max="11775" width="13.625" style="1" customWidth="1"/>
    <col min="11776" max="11776" width="14.375" style="1" customWidth="1"/>
    <col min="11777" max="11777" width="27.625" style="1" customWidth="1"/>
    <col min="11778" max="11778" width="19.125" style="1" customWidth="1"/>
    <col min="11779" max="11779" width="23.375" style="1" customWidth="1"/>
    <col min="11780" max="11780" width="20.625" style="1" customWidth="1"/>
    <col min="11781" max="11781" width="23.125" style="1" customWidth="1"/>
    <col min="11782" max="11782" width="24" style="1" customWidth="1"/>
    <col min="11783" max="11783" width="17" style="1" customWidth="1"/>
    <col min="11784" max="11784" width="8.875" style="1"/>
    <col min="11785" max="11785" width="16" style="1" customWidth="1"/>
    <col min="11786" max="11786" width="16.75" style="1" customWidth="1"/>
    <col min="11787" max="11787" width="13.375" style="1" customWidth="1"/>
    <col min="11788" max="12030" width="8.875" style="1"/>
    <col min="12031" max="12031" width="13.625" style="1" customWidth="1"/>
    <col min="12032" max="12032" width="14.375" style="1" customWidth="1"/>
    <col min="12033" max="12033" width="27.625" style="1" customWidth="1"/>
    <col min="12034" max="12034" width="19.125" style="1" customWidth="1"/>
    <col min="12035" max="12035" width="23.375" style="1" customWidth="1"/>
    <col min="12036" max="12036" width="20.625" style="1" customWidth="1"/>
    <col min="12037" max="12037" width="23.125" style="1" customWidth="1"/>
    <col min="12038" max="12038" width="24" style="1" customWidth="1"/>
    <col min="12039" max="12039" width="17" style="1" customWidth="1"/>
    <col min="12040" max="12040" width="8.875" style="1"/>
    <col min="12041" max="12041" width="16" style="1" customWidth="1"/>
    <col min="12042" max="12042" width="16.75" style="1" customWidth="1"/>
    <col min="12043" max="12043" width="13.375" style="1" customWidth="1"/>
    <col min="12044" max="12286" width="8.875" style="1"/>
    <col min="12287" max="12287" width="13.625" style="1" customWidth="1"/>
    <col min="12288" max="12288" width="14.375" style="1" customWidth="1"/>
    <col min="12289" max="12289" width="27.625" style="1" customWidth="1"/>
    <col min="12290" max="12290" width="19.125" style="1" customWidth="1"/>
    <col min="12291" max="12291" width="23.375" style="1" customWidth="1"/>
    <col min="12292" max="12292" width="20.625" style="1" customWidth="1"/>
    <col min="12293" max="12293" width="23.125" style="1" customWidth="1"/>
    <col min="12294" max="12294" width="24" style="1" customWidth="1"/>
    <col min="12295" max="12295" width="17" style="1" customWidth="1"/>
    <col min="12296" max="12296" width="8.875" style="1"/>
    <col min="12297" max="12297" width="16" style="1" customWidth="1"/>
    <col min="12298" max="12298" width="16.75" style="1" customWidth="1"/>
    <col min="12299" max="12299" width="13.375" style="1" customWidth="1"/>
    <col min="12300" max="12542" width="8.875" style="1"/>
    <col min="12543" max="12543" width="13.625" style="1" customWidth="1"/>
    <col min="12544" max="12544" width="14.375" style="1" customWidth="1"/>
    <col min="12545" max="12545" width="27.625" style="1" customWidth="1"/>
    <col min="12546" max="12546" width="19.125" style="1" customWidth="1"/>
    <col min="12547" max="12547" width="23.375" style="1" customWidth="1"/>
    <col min="12548" max="12548" width="20.625" style="1" customWidth="1"/>
    <col min="12549" max="12549" width="23.125" style="1" customWidth="1"/>
    <col min="12550" max="12550" width="24" style="1" customWidth="1"/>
    <col min="12551" max="12551" width="17" style="1" customWidth="1"/>
    <col min="12552" max="12552" width="8.875" style="1"/>
    <col min="12553" max="12553" width="16" style="1" customWidth="1"/>
    <col min="12554" max="12554" width="16.75" style="1" customWidth="1"/>
    <col min="12555" max="12555" width="13.375" style="1" customWidth="1"/>
    <col min="12556" max="12798" width="8.875" style="1"/>
    <col min="12799" max="12799" width="13.625" style="1" customWidth="1"/>
    <col min="12800" max="12800" width="14.375" style="1" customWidth="1"/>
    <col min="12801" max="12801" width="27.625" style="1" customWidth="1"/>
    <col min="12802" max="12802" width="19.125" style="1" customWidth="1"/>
    <col min="12803" max="12803" width="23.375" style="1" customWidth="1"/>
    <col min="12804" max="12804" width="20.625" style="1" customWidth="1"/>
    <col min="12805" max="12805" width="23.125" style="1" customWidth="1"/>
    <col min="12806" max="12806" width="24" style="1" customWidth="1"/>
    <col min="12807" max="12807" width="17" style="1" customWidth="1"/>
    <col min="12808" max="12808" width="8.875" style="1"/>
    <col min="12809" max="12809" width="16" style="1" customWidth="1"/>
    <col min="12810" max="12810" width="16.75" style="1" customWidth="1"/>
    <col min="12811" max="12811" width="13.375" style="1" customWidth="1"/>
    <col min="12812" max="13054" width="8.875" style="1"/>
    <col min="13055" max="13055" width="13.625" style="1" customWidth="1"/>
    <col min="13056" max="13056" width="14.375" style="1" customWidth="1"/>
    <col min="13057" max="13057" width="27.625" style="1" customWidth="1"/>
    <col min="13058" max="13058" width="19.125" style="1" customWidth="1"/>
    <col min="13059" max="13059" width="23.375" style="1" customWidth="1"/>
    <col min="13060" max="13060" width="20.625" style="1" customWidth="1"/>
    <col min="13061" max="13061" width="23.125" style="1" customWidth="1"/>
    <col min="13062" max="13062" width="24" style="1" customWidth="1"/>
    <col min="13063" max="13063" width="17" style="1" customWidth="1"/>
    <col min="13064" max="13064" width="8.875" style="1"/>
    <col min="13065" max="13065" width="16" style="1" customWidth="1"/>
    <col min="13066" max="13066" width="16.75" style="1" customWidth="1"/>
    <col min="13067" max="13067" width="13.375" style="1" customWidth="1"/>
    <col min="13068" max="13310" width="8.875" style="1"/>
    <col min="13311" max="13311" width="13.625" style="1" customWidth="1"/>
    <col min="13312" max="13312" width="14.375" style="1" customWidth="1"/>
    <col min="13313" max="13313" width="27.625" style="1" customWidth="1"/>
    <col min="13314" max="13314" width="19.125" style="1" customWidth="1"/>
    <col min="13315" max="13315" width="23.375" style="1" customWidth="1"/>
    <col min="13316" max="13316" width="20.625" style="1" customWidth="1"/>
    <col min="13317" max="13317" width="23.125" style="1" customWidth="1"/>
    <col min="13318" max="13318" width="24" style="1" customWidth="1"/>
    <col min="13319" max="13319" width="17" style="1" customWidth="1"/>
    <col min="13320" max="13320" width="8.875" style="1"/>
    <col min="13321" max="13321" width="16" style="1" customWidth="1"/>
    <col min="13322" max="13322" width="16.75" style="1" customWidth="1"/>
    <col min="13323" max="13323" width="13.375" style="1" customWidth="1"/>
    <col min="13324" max="13566" width="8.875" style="1"/>
    <col min="13567" max="13567" width="13.625" style="1" customWidth="1"/>
    <col min="13568" max="13568" width="14.375" style="1" customWidth="1"/>
    <col min="13569" max="13569" width="27.625" style="1" customWidth="1"/>
    <col min="13570" max="13570" width="19.125" style="1" customWidth="1"/>
    <col min="13571" max="13571" width="23.375" style="1" customWidth="1"/>
    <col min="13572" max="13572" width="20.625" style="1" customWidth="1"/>
    <col min="13573" max="13573" width="23.125" style="1" customWidth="1"/>
    <col min="13574" max="13574" width="24" style="1" customWidth="1"/>
    <col min="13575" max="13575" width="17" style="1" customWidth="1"/>
    <col min="13576" max="13576" width="8.875" style="1"/>
    <col min="13577" max="13577" width="16" style="1" customWidth="1"/>
    <col min="13578" max="13578" width="16.75" style="1" customWidth="1"/>
    <col min="13579" max="13579" width="13.375" style="1" customWidth="1"/>
    <col min="13580" max="13822" width="8.875" style="1"/>
    <col min="13823" max="13823" width="13.625" style="1" customWidth="1"/>
    <col min="13824" max="13824" width="14.375" style="1" customWidth="1"/>
    <col min="13825" max="13825" width="27.625" style="1" customWidth="1"/>
    <col min="13826" max="13826" width="19.125" style="1" customWidth="1"/>
    <col min="13827" max="13827" width="23.375" style="1" customWidth="1"/>
    <col min="13828" max="13828" width="20.625" style="1" customWidth="1"/>
    <col min="13829" max="13829" width="23.125" style="1" customWidth="1"/>
    <col min="13830" max="13830" width="24" style="1" customWidth="1"/>
    <col min="13831" max="13831" width="17" style="1" customWidth="1"/>
    <col min="13832" max="13832" width="8.875" style="1"/>
    <col min="13833" max="13833" width="16" style="1" customWidth="1"/>
    <col min="13834" max="13834" width="16.75" style="1" customWidth="1"/>
    <col min="13835" max="13835" width="13.375" style="1" customWidth="1"/>
    <col min="13836" max="14078" width="8.875" style="1"/>
    <col min="14079" max="14079" width="13.625" style="1" customWidth="1"/>
    <col min="14080" max="14080" width="14.375" style="1" customWidth="1"/>
    <col min="14081" max="14081" width="27.625" style="1" customWidth="1"/>
    <col min="14082" max="14082" width="19.125" style="1" customWidth="1"/>
    <col min="14083" max="14083" width="23.375" style="1" customWidth="1"/>
    <col min="14084" max="14084" width="20.625" style="1" customWidth="1"/>
    <col min="14085" max="14085" width="23.125" style="1" customWidth="1"/>
    <col min="14086" max="14086" width="24" style="1" customWidth="1"/>
    <col min="14087" max="14087" width="17" style="1" customWidth="1"/>
    <col min="14088" max="14088" width="8.875" style="1"/>
    <col min="14089" max="14089" width="16" style="1" customWidth="1"/>
    <col min="14090" max="14090" width="16.75" style="1" customWidth="1"/>
    <col min="14091" max="14091" width="13.375" style="1" customWidth="1"/>
    <col min="14092" max="14334" width="8.875" style="1"/>
    <col min="14335" max="14335" width="13.625" style="1" customWidth="1"/>
    <col min="14336" max="14336" width="14.375" style="1" customWidth="1"/>
    <col min="14337" max="14337" width="27.625" style="1" customWidth="1"/>
    <col min="14338" max="14338" width="19.125" style="1" customWidth="1"/>
    <col min="14339" max="14339" width="23.375" style="1" customWidth="1"/>
    <col min="14340" max="14340" width="20.625" style="1" customWidth="1"/>
    <col min="14341" max="14341" width="23.125" style="1" customWidth="1"/>
    <col min="14342" max="14342" width="24" style="1" customWidth="1"/>
    <col min="14343" max="14343" width="17" style="1" customWidth="1"/>
    <col min="14344" max="14344" width="8.875" style="1"/>
    <col min="14345" max="14345" width="16" style="1" customWidth="1"/>
    <col min="14346" max="14346" width="16.75" style="1" customWidth="1"/>
    <col min="14347" max="14347" width="13.375" style="1" customWidth="1"/>
    <col min="14348" max="14590" width="8.875" style="1"/>
    <col min="14591" max="14591" width="13.625" style="1" customWidth="1"/>
    <col min="14592" max="14592" width="14.375" style="1" customWidth="1"/>
    <col min="14593" max="14593" width="27.625" style="1" customWidth="1"/>
    <col min="14594" max="14594" width="19.125" style="1" customWidth="1"/>
    <col min="14595" max="14595" width="23.375" style="1" customWidth="1"/>
    <col min="14596" max="14596" width="20.625" style="1" customWidth="1"/>
    <col min="14597" max="14597" width="23.125" style="1" customWidth="1"/>
    <col min="14598" max="14598" width="24" style="1" customWidth="1"/>
    <col min="14599" max="14599" width="17" style="1" customWidth="1"/>
    <col min="14600" max="14600" width="8.875" style="1"/>
    <col min="14601" max="14601" width="16" style="1" customWidth="1"/>
    <col min="14602" max="14602" width="16.75" style="1" customWidth="1"/>
    <col min="14603" max="14603" width="13.375" style="1" customWidth="1"/>
    <col min="14604" max="14846" width="8.875" style="1"/>
    <col min="14847" max="14847" width="13.625" style="1" customWidth="1"/>
    <col min="14848" max="14848" width="14.375" style="1" customWidth="1"/>
    <col min="14849" max="14849" width="27.625" style="1" customWidth="1"/>
    <col min="14850" max="14850" width="19.125" style="1" customWidth="1"/>
    <col min="14851" max="14851" width="23.375" style="1" customWidth="1"/>
    <col min="14852" max="14852" width="20.625" style="1" customWidth="1"/>
    <col min="14853" max="14853" width="23.125" style="1" customWidth="1"/>
    <col min="14854" max="14854" width="24" style="1" customWidth="1"/>
    <col min="14855" max="14855" width="17" style="1" customWidth="1"/>
    <col min="14856" max="14856" width="8.875" style="1"/>
    <col min="14857" max="14857" width="16" style="1" customWidth="1"/>
    <col min="14858" max="14858" width="16.75" style="1" customWidth="1"/>
    <col min="14859" max="14859" width="13.375" style="1" customWidth="1"/>
    <col min="14860" max="15102" width="8.875" style="1"/>
    <col min="15103" max="15103" width="13.625" style="1" customWidth="1"/>
    <col min="15104" max="15104" width="14.375" style="1" customWidth="1"/>
    <col min="15105" max="15105" width="27.625" style="1" customWidth="1"/>
    <col min="15106" max="15106" width="19.125" style="1" customWidth="1"/>
    <col min="15107" max="15107" width="23.375" style="1" customWidth="1"/>
    <col min="15108" max="15108" width="20.625" style="1" customWidth="1"/>
    <col min="15109" max="15109" width="23.125" style="1" customWidth="1"/>
    <col min="15110" max="15110" width="24" style="1" customWidth="1"/>
    <col min="15111" max="15111" width="17" style="1" customWidth="1"/>
    <col min="15112" max="15112" width="8.875" style="1"/>
    <col min="15113" max="15113" width="16" style="1" customWidth="1"/>
    <col min="15114" max="15114" width="16.75" style="1" customWidth="1"/>
    <col min="15115" max="15115" width="13.375" style="1" customWidth="1"/>
    <col min="15116" max="15358" width="8.875" style="1"/>
    <col min="15359" max="15359" width="13.625" style="1" customWidth="1"/>
    <col min="15360" max="15360" width="14.375" style="1" customWidth="1"/>
    <col min="15361" max="15361" width="27.625" style="1" customWidth="1"/>
    <col min="15362" max="15362" width="19.125" style="1" customWidth="1"/>
    <col min="15363" max="15363" width="23.375" style="1" customWidth="1"/>
    <col min="15364" max="15364" width="20.625" style="1" customWidth="1"/>
    <col min="15365" max="15365" width="23.125" style="1" customWidth="1"/>
    <col min="15366" max="15366" width="24" style="1" customWidth="1"/>
    <col min="15367" max="15367" width="17" style="1" customWidth="1"/>
    <col min="15368" max="15368" width="8.875" style="1"/>
    <col min="15369" max="15369" width="16" style="1" customWidth="1"/>
    <col min="15370" max="15370" width="16.75" style="1" customWidth="1"/>
    <col min="15371" max="15371" width="13.375" style="1" customWidth="1"/>
    <col min="15372" max="15614" width="8.875" style="1"/>
    <col min="15615" max="15615" width="13.625" style="1" customWidth="1"/>
    <col min="15616" max="15616" width="14.375" style="1" customWidth="1"/>
    <col min="15617" max="15617" width="27.625" style="1" customWidth="1"/>
    <col min="15618" max="15618" width="19.125" style="1" customWidth="1"/>
    <col min="15619" max="15619" width="23.375" style="1" customWidth="1"/>
    <col min="15620" max="15620" width="20.625" style="1" customWidth="1"/>
    <col min="15621" max="15621" width="23.125" style="1" customWidth="1"/>
    <col min="15622" max="15622" width="24" style="1" customWidth="1"/>
    <col min="15623" max="15623" width="17" style="1" customWidth="1"/>
    <col min="15624" max="15624" width="8.875" style="1"/>
    <col min="15625" max="15625" width="16" style="1" customWidth="1"/>
    <col min="15626" max="15626" width="16.75" style="1" customWidth="1"/>
    <col min="15627" max="15627" width="13.375" style="1" customWidth="1"/>
    <col min="15628" max="15870" width="8.875" style="1"/>
    <col min="15871" max="15871" width="13.625" style="1" customWidth="1"/>
    <col min="15872" max="15872" width="14.375" style="1" customWidth="1"/>
    <col min="15873" max="15873" width="27.625" style="1" customWidth="1"/>
    <col min="15874" max="15874" width="19.125" style="1" customWidth="1"/>
    <col min="15875" max="15875" width="23.375" style="1" customWidth="1"/>
    <col min="15876" max="15876" width="20.625" style="1" customWidth="1"/>
    <col min="15877" max="15877" width="23.125" style="1" customWidth="1"/>
    <col min="15878" max="15878" width="24" style="1" customWidth="1"/>
    <col min="15879" max="15879" width="17" style="1" customWidth="1"/>
    <col min="15880" max="15880" width="8.875" style="1"/>
    <col min="15881" max="15881" width="16" style="1" customWidth="1"/>
    <col min="15882" max="15882" width="16.75" style="1" customWidth="1"/>
    <col min="15883" max="15883" width="13.375" style="1" customWidth="1"/>
    <col min="15884" max="16126" width="8.875" style="1"/>
    <col min="16127" max="16127" width="13.625" style="1" customWidth="1"/>
    <col min="16128" max="16128" width="14.375" style="1" customWidth="1"/>
    <col min="16129" max="16129" width="27.625" style="1" customWidth="1"/>
    <col min="16130" max="16130" width="19.125" style="1" customWidth="1"/>
    <col min="16131" max="16131" width="23.375" style="1" customWidth="1"/>
    <col min="16132" max="16132" width="20.625" style="1" customWidth="1"/>
    <col min="16133" max="16133" width="23.125" style="1" customWidth="1"/>
    <col min="16134" max="16134" width="24" style="1" customWidth="1"/>
    <col min="16135" max="16135" width="17" style="1" customWidth="1"/>
    <col min="16136" max="16136" width="8.875" style="1"/>
    <col min="16137" max="16137" width="16" style="1" customWidth="1"/>
    <col min="16138" max="16138" width="16.75" style="1" customWidth="1"/>
    <col min="16139" max="16139" width="13.375" style="1" customWidth="1"/>
    <col min="16140" max="16384" width="8.875" style="1"/>
  </cols>
  <sheetData>
    <row r="1" spans="1:1" ht="15.75">
      <c r="A1" s="4" t="str">
        <f ca="1">MID(CELL("filename",A1),FIND("]",CELL("filename",A1))+1,255)</f>
        <v>Exogenous Costs</v>
      </c>
    </row>
    <row r="2" spans="1:1" ht="15.75">
      <c r="A2" s="5" t="s">
        <v>19</v>
      </c>
    </row>
    <row r="3" spans="1:1" ht="15.75">
      <c r="A3" s="5" t="s">
        <v>25</v>
      </c>
    </row>
    <row r="4" spans="1:14" ht="15.75">
      <c r="A4" s="5" t="s">
        <v>20</v>
      </c>
      <c r="N4" s="2"/>
    </row>
    <row r="5" spans="1:9" ht="15.75">
      <c r="A5" s="21" t="s">
        <v>14</v>
      </c>
      <c r="I5" s="23"/>
    </row>
    <row r="6" spans="1:9" ht="15.75">
      <c r="A6" s="21"/>
      <c r="I6" s="23"/>
    </row>
    <row r="7" spans="1:9" ht="16.5" thickBot="1">
      <c r="A7" s="21"/>
      <c r="I7" s="23"/>
    </row>
    <row r="8" spans="1:9" ht="49.5" customHeight="1">
      <c r="A8" s="242" t="s">
        <v>122</v>
      </c>
      <c r="B8" s="243"/>
      <c r="C8" s="244"/>
      <c r="D8" s="245" t="s">
        <v>131</v>
      </c>
      <c r="E8" s="246"/>
      <c r="F8" s="247"/>
      <c r="G8" s="208"/>
      <c r="I8" s="23"/>
    </row>
    <row r="9" spans="1:9" ht="38.25" customHeight="1">
      <c r="A9" s="201" t="s">
        <v>119</v>
      </c>
      <c r="B9" s="198" t="s">
        <v>120</v>
      </c>
      <c r="C9" s="202" t="s">
        <v>121</v>
      </c>
      <c r="D9" s="201" t="s">
        <v>119</v>
      </c>
      <c r="E9" s="198" t="s">
        <v>120</v>
      </c>
      <c r="F9" s="202" t="s">
        <v>121</v>
      </c>
      <c r="G9" s="209" t="s">
        <v>84</v>
      </c>
      <c r="I9" s="68"/>
    </row>
    <row r="10" spans="1:8" ht="15">
      <c r="A10" s="203" t="s">
        <v>123</v>
      </c>
      <c r="B10" s="199">
        <v>0.003</v>
      </c>
      <c r="C10" s="204"/>
      <c r="D10" s="203" t="s">
        <v>123</v>
      </c>
      <c r="E10" s="200">
        <v>0.004</v>
      </c>
      <c r="F10" s="204"/>
      <c r="G10" s="62">
        <f>$E$10-$B$10</f>
        <v>0.001</v>
      </c>
      <c r="H10" s="1"/>
    </row>
    <row r="11" spans="1:8" ht="15">
      <c r="A11" s="203" t="s">
        <v>124</v>
      </c>
      <c r="B11" s="200">
        <v>0.03</v>
      </c>
      <c r="C11" s="204"/>
      <c r="D11" s="203" t="s">
        <v>124</v>
      </c>
      <c r="E11" s="200">
        <v>0.04</v>
      </c>
      <c r="F11" s="204"/>
      <c r="G11" s="62">
        <f>$E$11-$B$11</f>
        <v>0.010000000000000002</v>
      </c>
      <c r="H11" s="1"/>
    </row>
    <row r="12" spans="1:8" ht="15.75" thickBot="1">
      <c r="A12" s="205" t="s">
        <v>125</v>
      </c>
      <c r="B12" s="206">
        <v>4.0E-5</v>
      </c>
      <c r="C12" s="207"/>
      <c r="D12" s="205" t="s">
        <v>125</v>
      </c>
      <c r="E12" s="206">
        <v>5.0E-5</v>
      </c>
      <c r="F12" s="207"/>
      <c r="G12" s="63">
        <f>$E$12-$B$12</f>
        <v>9.999999999999999E-6</v>
      </c>
      <c r="H12" s="1"/>
    </row>
    <row r="13" spans="1:16" s="221" customFormat="1" ht="15.75" customHeight="1">
      <c r="A13" s="214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</row>
    <row r="14" spans="1:2" ht="15.75" customHeight="1">
      <c r="A14" s="1"/>
      <c r="B14" s="1"/>
    </row>
    <row r="15" spans="1:18" ht="16.5" thickBot="1">
      <c r="A15" s="1"/>
      <c r="B15" s="1"/>
      <c r="K15" s="27"/>
      <c r="L15" s="27"/>
      <c r="R15" s="27"/>
    </row>
    <row r="16" spans="1:16" ht="43.5" customHeight="1" thickBot="1">
      <c r="A16" s="21"/>
      <c r="E16" s="239" t="s">
        <v>97</v>
      </c>
      <c r="F16" s="240"/>
      <c r="G16" s="240"/>
      <c r="H16" s="241"/>
      <c r="I16" s="65"/>
      <c r="J16" s="66"/>
      <c r="K16" s="77"/>
      <c r="L16" s="190"/>
      <c r="M16" s="236" t="s">
        <v>83</v>
      </c>
      <c r="N16" s="237"/>
      <c r="O16" s="238"/>
      <c r="P16" s="147"/>
    </row>
    <row r="17" spans="1:16" ht="225" customHeight="1">
      <c r="A17" s="170" t="s">
        <v>7</v>
      </c>
      <c r="B17" s="171" t="s">
        <v>8</v>
      </c>
      <c r="C17" s="7" t="s">
        <v>10</v>
      </c>
      <c r="D17" s="10" t="s">
        <v>11</v>
      </c>
      <c r="E17" s="8" t="s">
        <v>111</v>
      </c>
      <c r="F17" s="3" t="s">
        <v>114</v>
      </c>
      <c r="G17" s="3" t="s">
        <v>112</v>
      </c>
      <c r="H17" s="9" t="s">
        <v>113</v>
      </c>
      <c r="I17" s="8" t="s">
        <v>77</v>
      </c>
      <c r="J17" s="3" t="s">
        <v>78</v>
      </c>
      <c r="K17" s="9" t="s">
        <v>79</v>
      </c>
      <c r="L17" s="148" t="s">
        <v>127</v>
      </c>
      <c r="M17" s="79" t="s">
        <v>80</v>
      </c>
      <c r="N17" s="64" t="s">
        <v>81</v>
      </c>
      <c r="O17" s="67" t="s">
        <v>82</v>
      </c>
      <c r="P17" s="148" t="s">
        <v>106</v>
      </c>
    </row>
    <row r="18" spans="1:16" ht="15">
      <c r="A18" s="167"/>
      <c r="B18" s="168"/>
      <c r="C18" s="168"/>
      <c r="D18" s="169"/>
      <c r="E18" s="8" t="str">
        <f t="shared" si="0" ref="E18:P18">"Col "&amp;COLUMN(E18)-4</f>
        <v>Col 1</v>
      </c>
      <c r="F18" s="3" t="str">
        <f>"Col "&amp;COLUMN(F18)-4</f>
        <v>Col 2</v>
      </c>
      <c r="G18" s="3" t="str">
        <f>"Col "&amp;COLUMN(G18)-4</f>
        <v>Col 3</v>
      </c>
      <c r="H18" s="9" t="str">
        <f>"Col "&amp;COLUMN(H18)-4</f>
        <v>Col 4</v>
      </c>
      <c r="I18" s="8" t="str">
        <f>"Col "&amp;COLUMN(I18)-4</f>
        <v>Col 5</v>
      </c>
      <c r="J18" s="3" t="str">
        <f>"Col "&amp;COLUMN(J18)-4</f>
        <v>Col 6</v>
      </c>
      <c r="K18" s="9" t="str">
        <f>"Col "&amp;COLUMN(K18)-4</f>
        <v>Col 7</v>
      </c>
      <c r="L18" s="149" t="str">
        <f>"Col "&amp;COLUMN(L18)-4</f>
        <v>Col 8</v>
      </c>
      <c r="M18" s="8" t="str">
        <f>"Col "&amp;COLUMN(M18)-4</f>
        <v>Col 9</v>
      </c>
      <c r="N18" s="3" t="str">
        <f>"Col "&amp;COLUMN(N18)-4</f>
        <v>Col 10</v>
      </c>
      <c r="O18" s="9" t="str">
        <f>"Col "&amp;COLUMN(O18)-4</f>
        <v>Col 11</v>
      </c>
      <c r="P18" s="149" t="str">
        <f>"Col "&amp;COLUMN(P18)-4</f>
        <v>Col 12</v>
      </c>
    </row>
    <row r="19" spans="1:16" ht="60">
      <c r="A19" s="167" t="s">
        <v>6</v>
      </c>
      <c r="B19" s="168" t="s">
        <v>6</v>
      </c>
      <c r="C19" s="168" t="s">
        <v>6</v>
      </c>
      <c r="D19" s="169" t="s">
        <v>6</v>
      </c>
      <c r="E19" s="8" t="s">
        <v>6</v>
      </c>
      <c r="F19" s="3" t="s">
        <v>6</v>
      </c>
      <c r="G19" s="3" t="s">
        <v>6</v>
      </c>
      <c r="H19" s="9" t="s">
        <v>6</v>
      </c>
      <c r="I19" s="8" t="str">
        <f>E18&amp;" / ("&amp;G18&amp;" - "&amp;E18&amp;")"</f>
        <v>Col 1 / (Col 3 - Col 1)</v>
      </c>
      <c r="J19" s="3" t="str">
        <f>F18&amp;" X (1 + "&amp;I18&amp;")"</f>
        <v>Col 2 X (1 + Col 5)</v>
      </c>
      <c r="K19" s="9" t="str">
        <f>J18&amp;" / "&amp;G18</f>
        <v>Col 6 / Col 3</v>
      </c>
      <c r="L19" s="149" t="s">
        <v>6</v>
      </c>
      <c r="M19" s="80" t="str">
        <f>"Incremental Regulatory Fee Per $ Revenue"&amp;" X "&amp;G18&amp;" X "&amp;K18&amp;" X "&amp;L18</f>
        <v>Incremental Regulatory Fee Per $ Revenue X Col 3 X Col 7 X Col 8</v>
      </c>
      <c r="N19" s="61" t="str">
        <f>"Incremental TRS Fee Per $ Revenue"&amp;" X "&amp;G18&amp;" X "&amp;K18&amp;" X "&amp;L18</f>
        <v>Incremental TRS Fee Per $ Revenue X Col 3 X Col 7 X Col 8</v>
      </c>
      <c r="O19" s="81" t="str">
        <f>"Incremental NANPA Fee Per $ Revenue"&amp;" X "&amp;H18&amp;" X "&amp;K18&amp;" X "&amp;L18</f>
        <v>Incremental NANPA Fee Per $ Revenue X Col 4 X Col 7 X Col 8</v>
      </c>
      <c r="P19" s="150" t="str">
        <f>"Sum("&amp;M18&amp;" + "&amp;N18&amp;" + "&amp;O18&amp;")"</f>
        <v>Sum(Col 9 + Col 10 + Col 11)</v>
      </c>
    </row>
    <row r="20" spans="1:16" s="44" customFormat="1" ht="15.75" thickBot="1">
      <c r="A20" s="151"/>
      <c r="B20" s="152"/>
      <c r="C20" s="153" t="s">
        <v>34</v>
      </c>
      <c r="D20" s="154" t="s">
        <v>35</v>
      </c>
      <c r="E20" s="51">
        <v>26000</v>
      </c>
      <c r="F20" s="52">
        <v>18000</v>
      </c>
      <c r="G20" s="52">
        <v>169010</v>
      </c>
      <c r="H20" s="155">
        <v>500000</v>
      </c>
      <c r="I20" s="156">
        <f>E20/(G20-E20)</f>
        <v>0.1818054681490805</v>
      </c>
      <c r="J20" s="52">
        <f>F20*(1+I20)</f>
        <v>21272.49842668345</v>
      </c>
      <c r="K20" s="158">
        <f>J20/G20</f>
        <v>0.12586532410320958</v>
      </c>
      <c r="L20" s="191">
        <v>0.9275151250000001</v>
      </c>
      <c r="M20" s="51">
        <f>ROUND($G$10*G20*K20*L20,2)</f>
        <v>19.73</v>
      </c>
      <c r="N20" s="52">
        <f>ROUND($G$11*G20*K20*L20,2)</f>
        <v>197.31</v>
      </c>
      <c r="O20" s="155">
        <f>ROUND(G12*H20*K20*L20,2)</f>
        <v>0.58</v>
      </c>
      <c r="P20" s="159">
        <f>ROUND(SUM(M20:O20),2)</f>
        <v>217.62</v>
      </c>
    </row>
    <row r="21" spans="1:8" ht="15.75">
      <c r="A21" s="1"/>
      <c r="B21" s="1"/>
      <c r="C21" s="1"/>
      <c r="D21" s="24"/>
      <c r="E21" s="24"/>
      <c r="F21" s="24"/>
      <c r="G21" s="1"/>
      <c r="H21" s="1"/>
    </row>
  </sheetData>
  <mergeCells count="4">
    <mergeCell ref="M16:O16"/>
    <mergeCell ref="E16:H16"/>
    <mergeCell ref="A8:C8"/>
    <mergeCell ref="D8:F8"/>
  </mergeCells>
  <pageMargins left="0.25" right="0.25" top="0.75" bottom="0.75" header="0.3" footer="0.3"/>
  <pageSetup orientation="landscape" paperSize="5" scale="44" r:id="rId1"/>
  <headerFooter>
    <oddFooter>&amp;L&amp;Z&amp;F\&amp;A&amp;R&amp;D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17"/>
  <sheetViews>
    <sheetView tabSelected="1" zoomScale="80" zoomScaleNormal="80" workbookViewId="0" topLeftCell="A1">
      <selection pane="topLeft" activeCell="I14" sqref="I14"/>
    </sheetView>
  </sheetViews>
  <sheetFormatPr defaultRowHeight="15"/>
  <cols>
    <col min="1" max="2" width="17.75" style="1" customWidth="1"/>
    <col min="4" max="4" width="17.75" customWidth="1"/>
    <col min="5" max="7" width="17.75" style="1" customWidth="1"/>
    <col min="8" max="10" width="17.75" customWidth="1"/>
    <col min="11" max="11" width="19.875" customWidth="1"/>
    <col min="12" max="13" width="17.75" customWidth="1"/>
    <col min="14" max="14" width="17.75" style="1" customWidth="1"/>
    <col min="15" max="15" width="17.75" customWidth="1"/>
    <col min="16" max="17" width="17.75" style="1" customWidth="1"/>
    <col min="18" max="38" width="17.75" customWidth="1"/>
  </cols>
  <sheetData>
    <row r="1" spans="1:1" s="1" customFormat="1" ht="15">
      <c r="A1" s="4" t="str">
        <f ca="1">MID(CELL("filename",A1),FIND("]",CELL("filename",A1))+1,255)</f>
        <v>Factor Dev</v>
      </c>
    </row>
    <row r="2" spans="1:1" s="1" customFormat="1" ht="15">
      <c r="A2" s="5" t="str">
        <f>'Exogenous Costs'!A2</f>
        <v>Filing Date:  06/17/19</v>
      </c>
    </row>
    <row r="3" spans="1:1" s="1" customFormat="1" ht="15">
      <c r="A3" s="5" t="str">
        <f>'Exogenous Costs'!A3</f>
        <v xml:space="preserve">Filing Entity:  </v>
      </c>
    </row>
    <row r="4" spans="1:14" s="1" customFormat="1" ht="15">
      <c r="A4" s="5" t="str">
        <f>'Exogenous Costs'!A4</f>
        <v>Transmittal Number:  XXXX</v>
      </c>
      <c r="D4" s="11"/>
      <c r="L4" s="11"/>
      <c r="M4" s="11"/>
      <c r="N4" s="11"/>
    </row>
    <row r="5" spans="1:1" s="1" customFormat="1" ht="15">
      <c r="A5" s="21" t="str">
        <f>'Exogenous Costs'!A5</f>
        <v>June 17, 2019 Title Title Title</v>
      </c>
    </row>
    <row r="6" spans="1:12" s="1" customFormat="1" ht="15">
      <c r="A6" s="21"/>
      <c r="L6" s="40"/>
    </row>
    <row r="7" spans="1:11" s="1" customFormat="1" ht="15">
      <c r="A7" s="45"/>
      <c r="B7" s="57"/>
      <c r="C7" s="248" t="s">
        <v>36</v>
      </c>
      <c r="D7" s="248"/>
      <c r="E7" s="248"/>
      <c r="F7" s="248"/>
      <c r="G7" s="248"/>
      <c r="H7" s="249"/>
      <c r="K7" s="194"/>
    </row>
    <row r="8" spans="1:11" s="1" customFormat="1" ht="15">
      <c r="A8" s="46" t="s">
        <v>37</v>
      </c>
      <c r="B8" s="47">
        <v>108.807</v>
      </c>
      <c r="C8" s="48" t="s">
        <v>75</v>
      </c>
      <c r="D8" s="2"/>
      <c r="E8" s="2"/>
      <c r="F8" s="2"/>
      <c r="G8" s="2"/>
      <c r="H8" s="28"/>
      <c r="J8" s="193"/>
      <c r="K8" s="194"/>
    </row>
    <row r="9" spans="1:11" s="1" customFormat="1" ht="15">
      <c r="A9" s="49" t="s">
        <v>38</v>
      </c>
      <c r="B9" s="50">
        <v>111.134</v>
      </c>
      <c r="C9" s="58" t="s">
        <v>76</v>
      </c>
      <c r="D9" s="29"/>
      <c r="E9" s="29"/>
      <c r="F9" s="29"/>
      <c r="G9" s="29"/>
      <c r="H9" s="30"/>
      <c r="K9" s="194"/>
    </row>
    <row r="10" spans="1:1" s="1" customFormat="1" ht="15">
      <c r="A10" s="21"/>
    </row>
    <row r="11" spans="1:17" s="1" customFormat="1" ht="15.75" thickBot="1">
      <c r="A11" s="21"/>
      <c r="O11" s="27"/>
      <c r="Q11" s="27"/>
    </row>
    <row r="12" spans="1:19" s="1" customFormat="1" ht="49.5" customHeight="1" thickBot="1">
      <c r="A12" s="197"/>
      <c r="B12" s="197"/>
      <c r="C12" s="197"/>
      <c r="D12" s="197"/>
      <c r="E12" s="254" t="s">
        <v>148</v>
      </c>
      <c r="F12" s="255"/>
      <c r="G12" s="255"/>
      <c r="H12" s="250" t="s">
        <v>145</v>
      </c>
      <c r="I12" s="251"/>
      <c r="J12" s="251"/>
      <c r="K12" s="252"/>
      <c r="L12" s="74"/>
      <c r="M12" s="74"/>
      <c r="N12" s="74"/>
      <c r="P12" s="2"/>
      <c r="Q12" s="74"/>
      <c r="R12" s="74"/>
      <c r="S12" s="75"/>
    </row>
    <row r="13" spans="1:18" ht="136.5">
      <c r="A13" s="6" t="s">
        <v>7</v>
      </c>
      <c r="B13" s="7" t="s">
        <v>8</v>
      </c>
      <c r="C13" s="7" t="s">
        <v>10</v>
      </c>
      <c r="D13" s="10" t="s">
        <v>11</v>
      </c>
      <c r="E13" s="6" t="s">
        <v>2</v>
      </c>
      <c r="F13" s="7" t="s">
        <v>1</v>
      </c>
      <c r="G13" s="10" t="s">
        <v>3</v>
      </c>
      <c r="H13" s="6" t="s">
        <v>24</v>
      </c>
      <c r="I13" s="171" t="s">
        <v>158</v>
      </c>
      <c r="J13" s="7" t="s">
        <v>30</v>
      </c>
      <c r="K13" s="10" t="s">
        <v>5</v>
      </c>
      <c r="L13" s="16" t="s">
        <v>0</v>
      </c>
      <c r="M13" s="15" t="s">
        <v>98</v>
      </c>
      <c r="N13" s="15" t="s">
        <v>110</v>
      </c>
      <c r="O13" s="73" t="s">
        <v>106</v>
      </c>
      <c r="P13" s="15" t="s">
        <v>99</v>
      </c>
      <c r="Q13" s="15" t="s">
        <v>141</v>
      </c>
      <c r="R13" s="222" t="s">
        <v>133</v>
      </c>
    </row>
    <row r="14" spans="1:18" s="1" customFormat="1" ht="15">
      <c r="A14" s="13"/>
      <c r="B14" s="12"/>
      <c r="C14" s="12"/>
      <c r="D14" s="14"/>
      <c r="E14" s="59" t="str">
        <f>"Col "&amp;COLUMN(E14)+8</f>
        <v>Col 13</v>
      </c>
      <c r="F14" s="20" t="str">
        <f>"Col "&amp;COLUMN(F14)+8</f>
        <v>Col 14</v>
      </c>
      <c r="G14" s="60" t="str">
        <f>"Col "&amp;COLUMN(G14)+8</f>
        <v>Col 15</v>
      </c>
      <c r="H14" s="59" t="str">
        <f>"Col "&amp;COLUMN(H14)+8</f>
        <v>Col 16</v>
      </c>
      <c r="I14" s="20" t="str">
        <f t="shared" si="0" ref="I14:J14">"Col "&amp;COLUMN(I14)+8</f>
        <v>Col 17</v>
      </c>
      <c r="J14" s="20" t="str">
        <f>"Col "&amp;COLUMN(J14)+8</f>
        <v>Col 18</v>
      </c>
      <c r="K14" s="60" t="str">
        <f>"Col "&amp;COLUMN(K14)+8</f>
        <v>Col 19</v>
      </c>
      <c r="L14" s="59" t="str">
        <f>"Col "&amp;COLUMN(L14)+8</f>
        <v>Col 20</v>
      </c>
      <c r="M14" s="20" t="str">
        <f t="shared" si="1" ref="M14:Q14">"Col "&amp;COLUMN(M14)+8</f>
        <v>Col 21</v>
      </c>
      <c r="N14" s="20" t="str">
        <f>"Col "&amp;COLUMN(N14)+8</f>
        <v>Col 22</v>
      </c>
      <c r="O14" s="20" t="str">
        <f>"Col "&amp;COLUMN(O14)+8</f>
        <v>Col 23</v>
      </c>
      <c r="P14" s="20" t="str">
        <f>"Col "&amp;COLUMN(P14)+8</f>
        <v>Col 24</v>
      </c>
      <c r="Q14" s="20" t="str">
        <f>"Col "&amp;COLUMN(Q14)+8</f>
        <v>Col 25</v>
      </c>
      <c r="R14" s="60" t="str">
        <f>"Col "&amp;COLUMN(R14)+8</f>
        <v>Col 26</v>
      </c>
    </row>
    <row r="15" spans="1:18" s="1" customFormat="1" ht="93.6" customHeight="1" thickBot="1">
      <c r="A15" s="186" t="s">
        <v>6</v>
      </c>
      <c r="B15" s="187" t="s">
        <v>6</v>
      </c>
      <c r="C15" s="187" t="s">
        <v>6</v>
      </c>
      <c r="D15" s="188" t="s">
        <v>6</v>
      </c>
      <c r="E15" s="41" t="s">
        <v>6</v>
      </c>
      <c r="F15" s="42" t="s">
        <v>6</v>
      </c>
      <c r="G15" s="43" t="str">
        <f>E14&amp;" / "&amp;F14</f>
        <v>Col 13 / Col 14</v>
      </c>
      <c r="H15" s="41" t="s">
        <v>6</v>
      </c>
      <c r="I15" s="42" t="s">
        <v>6</v>
      </c>
      <c r="J15" s="42" t="str">
        <f>I14&amp;" - "&amp;H14</f>
        <v>Col 17 - Col 16</v>
      </c>
      <c r="K15" s="43" t="str">
        <f>"1 - ("&amp;J14&amp;" / "&amp;I14&amp;")"</f>
        <v>1 - (Col 18 / Col 17)</v>
      </c>
      <c r="L15" s="8" t="s">
        <v>69</v>
      </c>
      <c r="M15" s="3" t="str">
        <f>"("&amp;A9&amp;" - "&amp;A8&amp;") / "&amp;A8</f>
        <v>(GDP-PI Q4 2018 - GDP-PI Q4 2017) / GDP-PI Q4 2017</v>
      </c>
      <c r="N15" s="3" t="str">
        <f>"Sum "&amp;' Study Area TRP'!G16&amp;" + "&amp;' Study Area TRP'!I16</f>
        <v>Sum Col 31 + Col 33</v>
      </c>
      <c r="O15" s="78" t="str">
        <f>'Exogenous Costs'!P18</f>
        <v>Col 12</v>
      </c>
      <c r="P15" s="61" t="str">
        <f>"("&amp;'Factor Dev'!N14&amp;" + "&amp;O14&amp;") / "&amp;'Factor Dev'!N14</f>
        <v>(Col 22 + Col 23) / Col 22</v>
      </c>
      <c r="Q15" s="3" t="s">
        <v>6</v>
      </c>
      <c r="R15" s="60" t="str">
        <f>Q14&amp;" X (1 + "&amp;'Factor Dev'!P14&amp;" X ("&amp;M14&amp;" - "&amp;L14&amp;") + "&amp;'Factor Dev'!O14&amp;" / "&amp;'Factor Dev'!N14&amp;")"</f>
        <v>Col 25 X (1 + Col 24 X (Col 21 - Col 20) + Col 23 / Col 22)</v>
      </c>
    </row>
    <row r="16" spans="1:18" s="44" customFormat="1" ht="15.75" thickBot="1">
      <c r="A16" s="160"/>
      <c r="B16" s="161"/>
      <c r="C16" s="162" t="s">
        <v>34</v>
      </c>
      <c r="D16" s="163" t="s">
        <v>35</v>
      </c>
      <c r="E16" s="164">
        <v>1250000</v>
      </c>
      <c r="F16" s="165">
        <v>1000000</v>
      </c>
      <c r="G16" s="166">
        <f>IFERROR($E16/$F16,"")</f>
        <v>1.25</v>
      </c>
      <c r="H16" s="164">
        <v>100000</v>
      </c>
      <c r="I16" s="165">
        <v>110000</v>
      </c>
      <c r="J16" s="165">
        <f>IFERROR($I16-$H16,"")</f>
        <v>10000</v>
      </c>
      <c r="K16" s="166">
        <f>IFERROR(1-($J16/$I16),"")</f>
        <v>0.9090909090909091</v>
      </c>
      <c r="L16" s="53">
        <v>0.02</v>
      </c>
      <c r="M16" s="54">
        <f>IFERROR(($B$9-$B$8)/$B$8,"")</f>
        <v>0.021386491677925116</v>
      </c>
      <c r="N16" s="52">
        <f>SUM(' Study Area TRP'!G24,' Study Area TRP'!I24)</f>
        <v>773693</v>
      </c>
      <c r="O16" s="76">
        <f>'Exogenous Costs'!P20</f>
        <v>217.62</v>
      </c>
      <c r="P16" s="157">
        <f>('Factor Dev'!N16+'Exogenous Costs'!P20)/'Factor Dev'!N16</f>
        <v>1.0002812743555907</v>
      </c>
      <c r="Q16" s="82">
        <v>100</v>
      </c>
      <c r="R16" s="83">
        <f>Q16*(1+'Factor Dev'!P16*(('Factor Dev'!M16-'Factor Dev'!L16)+('Factor Dev'!O16/'Factor Dev'!N16)))</f>
        <v>100.16682351333321</v>
      </c>
    </row>
    <row r="17" spans="8:18" ht="15">
      <c r="H17" s="253"/>
      <c r="I17" s="253"/>
      <c r="J17" s="253"/>
      <c r="K17" s="253"/>
      <c r="Q17"/>
      <c r="R17" s="1"/>
    </row>
  </sheetData>
  <mergeCells count="4">
    <mergeCell ref="C7:H7"/>
    <mergeCell ref="H12:K12"/>
    <mergeCell ref="H17:K17"/>
    <mergeCell ref="E12:G12"/>
  </mergeCells>
  <pageMargins left="0.25" right="0.25" top="0.75" bottom="0.75" header="0.3" footer="0.3"/>
  <pageSetup orientation="landscape" paperSize="5" scale="55" r:id="rId1"/>
  <headerFooter>
    <oddFooter>&amp;L&amp;Z&amp;F\&amp;A&amp;R&amp;D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pageSetUpPr fitToPage="1"/>
  </sheetPr>
  <dimension ref="A1:AH168"/>
  <sheetViews>
    <sheetView zoomScale="80" zoomScaleNormal="80" workbookViewId="0" topLeftCell="A13">
      <selection pane="topLeft" activeCell="D15" sqref="D15"/>
    </sheetView>
  </sheetViews>
  <sheetFormatPr defaultColWidth="9.145" defaultRowHeight="15"/>
  <cols>
    <col min="1" max="1" width="10.375" style="36" customWidth="1"/>
    <col min="2" max="2" width="68.625" style="127" bestFit="1" customWidth="1"/>
    <col min="3" max="3" width="18.625" style="32" customWidth="1"/>
    <col min="4" max="4" width="16.125" style="98" customWidth="1"/>
    <col min="5" max="5" width="20.375" style="31" customWidth="1"/>
    <col min="6" max="9" width="15.75" style="31" customWidth="1"/>
    <col min="10" max="11" width="15.75" style="34" customWidth="1"/>
    <col min="12" max="12" width="16.375" style="34" customWidth="1"/>
    <col min="13" max="13" width="15.75" style="35" customWidth="1"/>
    <col min="14" max="16" width="18.25" style="36" customWidth="1"/>
    <col min="17" max="17" width="15.75" style="36" customWidth="1"/>
    <col min="18" max="16384" width="9.125" style="36"/>
  </cols>
  <sheetData>
    <row r="1" spans="1:13" ht="15">
      <c r="A1" s="256" t="str">
        <f ca="1">MID(CELL("filename",A1),FIND("]",CELL("filename",A1))+1,255)</f>
        <v xml:space="preserve"> Study Area TRP</v>
      </c>
      <c r="B1" s="256"/>
      <c r="C1" s="36"/>
      <c r="D1" s="36"/>
      <c r="F1" s="33"/>
      <c r="G1" s="36"/>
      <c r="H1" s="36"/>
      <c r="I1" s="34"/>
      <c r="L1" s="35"/>
      <c r="M1" s="36"/>
    </row>
    <row r="2" spans="1:13" ht="15">
      <c r="A2" s="258" t="s">
        <v>19</v>
      </c>
      <c r="B2" s="258"/>
      <c r="C2" s="36"/>
      <c r="D2" s="36"/>
      <c r="F2" s="37"/>
      <c r="G2" s="36"/>
      <c r="H2" s="36"/>
      <c r="I2" s="34"/>
      <c r="L2" s="35"/>
      <c r="M2" s="36"/>
    </row>
    <row r="3" spans="1:13" ht="15">
      <c r="A3" s="256" t="s">
        <v>25</v>
      </c>
      <c r="B3" s="256"/>
      <c r="C3" s="36"/>
      <c r="D3" s="36"/>
      <c r="F3" s="38"/>
      <c r="G3" s="36"/>
      <c r="H3" s="36"/>
      <c r="I3" s="34"/>
      <c r="L3" s="35"/>
      <c r="M3" s="36"/>
    </row>
    <row r="4" spans="1:13" ht="15">
      <c r="A4" s="256" t="s">
        <v>20</v>
      </c>
      <c r="B4" s="256"/>
      <c r="C4" s="36"/>
      <c r="D4" s="36"/>
      <c r="F4" s="38"/>
      <c r="G4" s="36"/>
      <c r="H4" s="36"/>
      <c r="I4" s="34"/>
      <c r="L4" s="35"/>
      <c r="M4" s="36"/>
    </row>
    <row r="5" spans="1:13" ht="15">
      <c r="A5" s="256" t="s">
        <v>14</v>
      </c>
      <c r="B5" s="256"/>
      <c r="C5" s="36"/>
      <c r="D5" s="36"/>
      <c r="F5" s="38"/>
      <c r="G5" s="36"/>
      <c r="H5" s="36"/>
      <c r="I5" s="36"/>
      <c r="J5" s="36"/>
      <c r="K5" s="36"/>
      <c r="L5" s="36"/>
      <c r="M5" s="36"/>
    </row>
    <row r="6" spans="1:13" ht="15">
      <c r="A6" s="39"/>
      <c r="B6" s="32"/>
      <c r="C6" s="36"/>
      <c r="D6" s="36"/>
      <c r="F6" s="38"/>
      <c r="G6" s="25"/>
      <c r="H6" s="55"/>
      <c r="I6" s="36"/>
      <c r="J6" s="36"/>
      <c r="K6" s="36"/>
      <c r="L6" s="36"/>
      <c r="M6" s="36"/>
    </row>
    <row r="7" spans="1:13" ht="15">
      <c r="A7" s="256" t="s">
        <v>15</v>
      </c>
      <c r="B7" s="256"/>
      <c r="C7" s="189" t="str">
        <f>'Exogenous Costs'!C20</f>
        <v>123456</v>
      </c>
      <c r="D7" s="36"/>
      <c r="F7" s="38"/>
      <c r="G7" s="25"/>
      <c r="H7" s="55"/>
      <c r="I7" s="36"/>
      <c r="J7" s="36"/>
      <c r="K7" s="36"/>
      <c r="L7" s="36"/>
      <c r="M7" s="36"/>
    </row>
    <row r="8" spans="1:13" ht="15">
      <c r="A8" s="256" t="s">
        <v>16</v>
      </c>
      <c r="B8" s="256"/>
      <c r="C8" s="189" t="str">
        <f>'Exogenous Costs'!D20</f>
        <v>Test Company</v>
      </c>
      <c r="D8" s="36"/>
      <c r="F8" s="38"/>
      <c r="G8" s="25"/>
      <c r="H8" s="55"/>
      <c r="I8" s="36"/>
      <c r="J8" s="36"/>
      <c r="K8" s="36"/>
      <c r="L8" s="36"/>
      <c r="M8" s="36"/>
    </row>
    <row r="9" spans="1:13" ht="15">
      <c r="A9" s="256" t="s">
        <v>17</v>
      </c>
      <c r="B9" s="256"/>
      <c r="C9" s="210">
        <f>'Factor Dev'!G16</f>
        <v>1.25</v>
      </c>
      <c r="D9" s="36"/>
      <c r="F9" s="38"/>
      <c r="G9" s="25"/>
      <c r="H9" s="55"/>
      <c r="I9" s="36"/>
      <c r="J9" s="36"/>
      <c r="K9" s="36"/>
      <c r="L9" s="36"/>
      <c r="M9" s="36"/>
    </row>
    <row r="10" spans="1:13" ht="15">
      <c r="A10" s="256" t="s">
        <v>18</v>
      </c>
      <c r="B10" s="256"/>
      <c r="C10" s="210">
        <f>'Factor Dev'!K16</f>
        <v>0.9090909090909091</v>
      </c>
      <c r="D10" s="36"/>
      <c r="F10" s="38"/>
      <c r="G10" s="25"/>
      <c r="H10" s="55"/>
      <c r="I10" s="36"/>
      <c r="J10" s="36"/>
      <c r="K10" s="36"/>
      <c r="L10" s="36"/>
      <c r="M10" s="36"/>
    </row>
    <row r="11" spans="1:29" ht="15">
      <c r="A11" s="257" t="s">
        <v>132</v>
      </c>
      <c r="B11" s="257"/>
      <c r="C11" s="192">
        <f>'Factor Dev'!R16</f>
        <v>100.16682351333321</v>
      </c>
      <c r="D11" s="92"/>
      <c r="G11" s="215"/>
      <c r="I11" s="92"/>
      <c r="K11" s="92"/>
      <c r="L11" s="31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</row>
    <row r="12" spans="2:34" ht="15">
      <c r="B12" s="22"/>
      <c r="C12" s="213"/>
      <c r="D12" s="26"/>
      <c r="E12" s="92"/>
      <c r="G12" s="216"/>
      <c r="H12" s="92"/>
      <c r="J12" s="217"/>
      <c r="K12" s="217"/>
      <c r="L12" s="217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</row>
    <row r="13" spans="2:16" ht="15.75" thickBot="1">
      <c r="B13" s="22"/>
      <c r="D13" s="26"/>
      <c r="G13" s="38"/>
      <c r="H13" s="11"/>
      <c r="J13" s="90"/>
      <c r="K13" s="89"/>
      <c r="L13" s="89"/>
      <c r="N13" s="11"/>
      <c r="O13" s="11"/>
      <c r="P13" s="11"/>
    </row>
    <row r="14" spans="1:15" ht="16.5" thickBot="1">
      <c r="A14" s="266"/>
      <c r="B14" s="271" t="s">
        <v>31</v>
      </c>
      <c r="C14" s="272"/>
      <c r="D14" s="272"/>
      <c r="E14" s="272"/>
      <c r="F14" s="273"/>
      <c r="G14" s="269" t="s">
        <v>73</v>
      </c>
      <c r="H14" s="270"/>
      <c r="I14" s="269" t="s">
        <v>74</v>
      </c>
      <c r="J14" s="270"/>
      <c r="K14" s="269" t="s">
        <v>103</v>
      </c>
      <c r="L14" s="270"/>
      <c r="M14" s="11"/>
      <c r="N14" s="11"/>
      <c r="O14" s="11"/>
    </row>
    <row r="15" spans="1:13" ht="150">
      <c r="A15" s="267"/>
      <c r="B15" s="195" t="s">
        <v>9</v>
      </c>
      <c r="C15" s="223" t="s">
        <v>140</v>
      </c>
      <c r="D15" s="224" t="s">
        <v>138</v>
      </c>
      <c r="E15" s="223" t="s">
        <v>139</v>
      </c>
      <c r="F15" s="225" t="s">
        <v>134</v>
      </c>
      <c r="G15" s="79" t="s">
        <v>102</v>
      </c>
      <c r="H15" s="67" t="s">
        <v>86</v>
      </c>
      <c r="I15" s="79" t="s">
        <v>102</v>
      </c>
      <c r="J15" s="67" t="s">
        <v>86</v>
      </c>
      <c r="K15" s="79" t="s">
        <v>102</v>
      </c>
      <c r="L15" s="67" t="s">
        <v>86</v>
      </c>
      <c r="M15" s="36"/>
    </row>
    <row r="16" spans="1:13" ht="15">
      <c r="A16" s="268"/>
      <c r="B16" s="20"/>
      <c r="C16" s="226" t="str">
        <f>"Col "&amp;COLUMN(C16)+24</f>
        <v>Col 27</v>
      </c>
      <c r="D16" s="226" t="str">
        <f>"Col "&amp;COLUMN(D16)+24</f>
        <v>Col 28</v>
      </c>
      <c r="E16" s="226" t="str">
        <f t="shared" si="0" ref="E16:H16">"Col "&amp;COLUMN(E16)+24</f>
        <v>Col 29</v>
      </c>
      <c r="F16" s="227" t="str">
        <f>"Col "&amp;COLUMN(F16)+24</f>
        <v>Col 30</v>
      </c>
      <c r="G16" s="172" t="str">
        <f>"Col "&amp;COLUMN(G16)+24</f>
        <v>Col 31</v>
      </c>
      <c r="H16" s="178" t="str">
        <f>"Col "&amp;COLUMN(H16)+24</f>
        <v>Col 32</v>
      </c>
      <c r="I16" s="172" t="str">
        <f t="shared" si="1" ref="I16:L16">"Col "&amp;COLUMN(I16)+24</f>
        <v>Col 33</v>
      </c>
      <c r="J16" s="178" t="str">
        <f>"Col "&amp;COLUMN(J16)+24</f>
        <v>Col 34</v>
      </c>
      <c r="K16" s="172" t="str">
        <f>"Col "&amp;COLUMN(K16)+24</f>
        <v>Col 35</v>
      </c>
      <c r="L16" s="178" t="str">
        <f>"Col "&amp;COLUMN(L16)+24</f>
        <v>Col 36</v>
      </c>
      <c r="M16" s="36"/>
    </row>
    <row r="17" spans="1:13" ht="96" customHeight="1">
      <c r="A17" s="8" t="s">
        <v>115</v>
      </c>
      <c r="B17" s="3"/>
      <c r="C17" s="64" t="s">
        <v>6</v>
      </c>
      <c r="D17" s="64" t="str">
        <f>"("&amp;L16&amp;"  / "&amp;K16&amp;") X Col 27"</f>
        <v>(Col 36  / Col 35) X Col 27</v>
      </c>
      <c r="E17" s="228" t="s">
        <v>142</v>
      </c>
      <c r="F17" s="67" t="str">
        <f>D16&amp;" Must Be Less Than Or Equal To "&amp;E16&amp;" To Pass"</f>
        <v>Col 28 Must Be Less Than Or Equal To Col 29 To Pass</v>
      </c>
      <c r="G17" s="8" t="s">
        <v>108</v>
      </c>
      <c r="H17" s="9" t="s">
        <v>109</v>
      </c>
      <c r="I17" s="8" t="s">
        <v>104</v>
      </c>
      <c r="J17" s="9" t="s">
        <v>105</v>
      </c>
      <c r="K17" s="80" t="str">
        <f>"Sum("&amp;G16&amp;" + "&amp;I16&amp;")"</f>
        <v>Sum(Col 31 + Col 33)</v>
      </c>
      <c r="L17" s="81" t="str">
        <f>"Sum("&amp;H16&amp;" + "&amp;J16&amp;")"</f>
        <v>Sum(Col 32 + Col 34)</v>
      </c>
      <c r="M17" s="36"/>
    </row>
    <row r="18" spans="1:13" ht="15">
      <c r="A18" s="177">
        <v>1</v>
      </c>
      <c r="B18" s="173" t="s">
        <v>85</v>
      </c>
      <c r="C18" s="56">
        <v>100</v>
      </c>
      <c r="D18" s="229">
        <f t="shared" si="2" ref="D18:D24">IF(SUM(K18,L18)&lt;&gt;0,(L18/K18)*C18,0)</f>
        <v>100.02711840792553</v>
      </c>
      <c r="E18" s="56">
        <f>C18*($C$11/'Factor Dev'!$Q$16)*1.05</f>
        <v>105.17516468899989</v>
      </c>
      <c r="F18" s="183" t="str">
        <f t="shared" si="3" ref="F18:F24">IF(D18&lt;=E18,"Pass","Fail")</f>
        <v>Pass</v>
      </c>
      <c r="G18" s="179">
        <f>(SUMIF($C35:$C88,"VG",$L35:$L88)+SUMIF($C35:$C88,"WATS",$L35:$L88)+SUMIF($C35:$C88,"METAL",$L35:$L88)+SUMIF($C35:$C88,"TGR",$L35:$L88))*12</f>
        <v>47560.50</v>
      </c>
      <c r="H18" s="180">
        <f>(SUMIF($C35:$C88,"VG",$M35:$M88)+SUMIF($C35:$C88,"WATS",$M35:$M88)+SUMIF($C35:$C88,"METAL",$M35:$M88)+SUMIF($C35:$C88,"TGR",$M35:$M88))*12</f>
        <v>56025</v>
      </c>
      <c r="I18" s="179">
        <f>SUMIF($C106:$C166,"VG",$J106:$J166)+SUMIF($C106:$C166,"WATS",$J106:$J166)+SUMIF($C106:$C166,"METAL",$J106:$J166)+SUMIF($C106:$C166,"TGR",$J106:$J166)</f>
        <v>153410</v>
      </c>
      <c r="J18" s="180">
        <f>SUMIF($C106:$C166,"VG",$K106:$K166)+SUMIF($C106:$C166,"WATS",$K106:$K166)+SUMIF($C106:$C166,"METAL",$K106:$K166)+SUMIF($C106:$C166,"TGR",$K106:$K166)</f>
        <v>145000</v>
      </c>
      <c r="K18" s="179">
        <f>SUM(G18,I18)</f>
        <v>200970.50</v>
      </c>
      <c r="L18" s="180">
        <f>SUM(H18,J18)</f>
        <v>201025</v>
      </c>
      <c r="M18" s="36"/>
    </row>
    <row r="19" spans="1:13" ht="15">
      <c r="A19" s="177">
        <v>2</v>
      </c>
      <c r="B19" s="173" t="s">
        <v>52</v>
      </c>
      <c r="C19" s="56">
        <v>100</v>
      </c>
      <c r="D19" s="229">
        <f>IF(SUM(K19,L19)&lt;&gt;0,(L19/K19)*C19,0)</f>
        <v>100.14381308239373</v>
      </c>
      <c r="E19" s="56">
        <f>C19*($C$11/'Factor Dev'!$Q$16)*1.05</f>
        <v>105.17516468899989</v>
      </c>
      <c r="F19" s="183" t="str">
        <f>IF(D19&lt;=E19,"Pass","Fail")</f>
        <v>Pass</v>
      </c>
      <c r="G19" s="179">
        <f>(SUMIF($C35:$C88,"AV",$L35:$L88))*12</f>
        <v>30685.50</v>
      </c>
      <c r="H19" s="180">
        <f>(SUMIF($C35:$C88,"AV",$M35:$M88))*12</f>
        <v>33750</v>
      </c>
      <c r="I19" s="179">
        <f>SUMIF($C106:$C166,"AV",$J106:$J166)</f>
        <v>45455</v>
      </c>
      <c r="J19" s="180">
        <f>SUMIF($C106:$C166,"AV",$K106:$K166)</f>
        <v>42500</v>
      </c>
      <c r="K19" s="179">
        <f t="shared" si="4" ref="K19:L24">SUM(G19,I19)</f>
        <v>76140.50</v>
      </c>
      <c r="L19" s="180">
        <f>SUM(H19,J19)</f>
        <v>76250</v>
      </c>
      <c r="M19" s="36"/>
    </row>
    <row r="20" spans="1:13" ht="15">
      <c r="A20" s="177">
        <v>3</v>
      </c>
      <c r="B20" s="173" t="s">
        <v>12</v>
      </c>
      <c r="C20" s="56">
        <v>100</v>
      </c>
      <c r="D20" s="229">
        <f>IF(SUM(K20,L20)&lt;&gt;0,(L20/K20)*C20,0)</f>
        <v>98.67452985337312</v>
      </c>
      <c r="E20" s="56">
        <f>C20*($C$11/'Factor Dev'!$Q$16)*1.05</f>
        <v>105.17516468899989</v>
      </c>
      <c r="F20" s="183" t="str">
        <f>IF(D20&lt;=E20,"Pass","Fail")</f>
        <v>Pass</v>
      </c>
      <c r="G20" s="179">
        <f>(SUMIF($C35:$C88,"DS1",$L35:$L88))*12</f>
        <v>38353.50</v>
      </c>
      <c r="H20" s="180">
        <f>(SUMIF($C35:$C88,"DS1",$M35:$M88))*12</f>
        <v>40500</v>
      </c>
      <c r="I20" s="179">
        <f>SUMIF($C106:$C166,"DS1",$J106:$J166)</f>
        <v>48295</v>
      </c>
      <c r="J20" s="180">
        <f>SUMIF($C106:$C166,"DS1",$K106:$K166)</f>
        <v>45000</v>
      </c>
      <c r="K20" s="179">
        <f>SUM(G20,I20)</f>
        <v>86648.50</v>
      </c>
      <c r="L20" s="180">
        <f>SUM(H20,J20)</f>
        <v>85500</v>
      </c>
      <c r="M20" s="36"/>
    </row>
    <row r="21" spans="1:13" ht="15">
      <c r="A21" s="177">
        <v>4</v>
      </c>
      <c r="B21" s="173" t="s">
        <v>13</v>
      </c>
      <c r="C21" s="56">
        <v>100</v>
      </c>
      <c r="D21" s="229">
        <f>IF(SUM(K21,L21)&lt;&gt;0,(L21/K21)*C21,0)</f>
        <v>97.52206468877853</v>
      </c>
      <c r="E21" s="56">
        <f>C21*($C$11/'Factor Dev'!$Q$16)*1.05</f>
        <v>105.17516468899989</v>
      </c>
      <c r="F21" s="183" t="str">
        <f>IF(D21&lt;=E21,"Pass","Fail")</f>
        <v>Pass</v>
      </c>
      <c r="G21" s="179">
        <f>(SUMIF($C35:$C88,"DS3",$L35:$L88))*12</f>
        <v>46021.50000000001</v>
      </c>
      <c r="H21" s="180">
        <f>(SUMIF($C35:$C88,"DS3",$M35:$M88))*12</f>
        <v>47250</v>
      </c>
      <c r="I21" s="179">
        <f>SUMIF($C106:$C166,"DS3",$J106:$J166)</f>
        <v>51136</v>
      </c>
      <c r="J21" s="180">
        <f>SUMIF($C106:$C166,"DS3",$K106:$K166)</f>
        <v>47500</v>
      </c>
      <c r="K21" s="179">
        <f>SUM(G21,I21)</f>
        <v>97157.50</v>
      </c>
      <c r="L21" s="180">
        <f>SUM(H21,J21)</f>
        <v>94750</v>
      </c>
      <c r="M21" s="36"/>
    </row>
    <row r="22" spans="1:13" ht="15">
      <c r="A22" s="177">
        <v>5</v>
      </c>
      <c r="B22" s="173" t="s">
        <v>68</v>
      </c>
      <c r="C22" s="56">
        <v>100</v>
      </c>
      <c r="D22" s="229">
        <f>IF(SUM(K22,L22)&lt;&gt;0,(L22/K22)*C22,0)</f>
        <v>97.52206468877853</v>
      </c>
      <c r="E22" s="56">
        <f>C22*($C$11/'Factor Dev'!$Q$16)*1.05</f>
        <v>105.17516468899989</v>
      </c>
      <c r="F22" s="183" t="str">
        <f>IF(D22&lt;=E22,"Pass","Fail")</f>
        <v>Pass</v>
      </c>
      <c r="G22" s="179">
        <f>(SUMIF($C35:$C88,"DS1",$L35:$L88)+SUMIF($C35:$C88,"DS3",$L35:$L88)+SUMIF($C35:$C88,"DDS",$L35:$L88))*12</f>
        <v>138064.50</v>
      </c>
      <c r="H22" s="180">
        <f>(SUMIF($C35:$C88,"DS1",$M35:$M88)+SUMIF($C35:$C88,"DS3",$M35:$M88)+SUMIF($C35:$C88,"DDS",$M35:$M88))*12</f>
        <v>141750</v>
      </c>
      <c r="I22" s="179">
        <f>SUMIF($C106:$C166,"DS1",$J106:$K166)+SUMIF($C106:$C166,"DS3",$J106:$J166)+SUMIF($C106:$C166,"DDS",$J106:$J166)</f>
        <v>153408</v>
      </c>
      <c r="J22" s="180">
        <f>SUMIF($C106:$C166,"DS1",$K106:$K166)+SUMIF($C106:$C166,"DS3",$K106:$K166)+SUMIF($C106:$C166,"DDS",$K106:$K166)</f>
        <v>142500</v>
      </c>
      <c r="K22" s="179">
        <f>SUM(G22,I22)</f>
        <v>291472.50</v>
      </c>
      <c r="L22" s="180">
        <f>SUM(H22,J22)</f>
        <v>284250</v>
      </c>
      <c r="M22" s="36"/>
    </row>
    <row r="23" spans="1:13" ht="15">
      <c r="A23" s="177">
        <v>6</v>
      </c>
      <c r="B23" s="174" t="s">
        <v>33</v>
      </c>
      <c r="C23" s="56">
        <v>100</v>
      </c>
      <c r="D23" s="229">
        <f>IF(SUM(K23,L23)&lt;&gt;0,(L23/K23)*C23,0)</f>
        <v>95.83204640555783</v>
      </c>
      <c r="E23" s="56">
        <f>C23*($C$11/'Factor Dev'!$Q$16)*1.05</f>
        <v>105.17516468899989</v>
      </c>
      <c r="F23" s="183" t="str">
        <f>IF(D23&lt;=E23,"Pass","Fail")</f>
        <v>Pass</v>
      </c>
      <c r="G23" s="179">
        <f>(SUMIF($C35:$C88,"WIDE",$L35:$L88))*12</f>
        <v>61357.50</v>
      </c>
      <c r="H23" s="180">
        <f>(SUMIF($C35:$C86,"WIDE",$M35:$M88))*12</f>
        <v>60750</v>
      </c>
      <c r="I23" s="179">
        <f>SUMIF($C106:$C166,"WIDE",$J106:$J166)</f>
        <v>56817.99999999999</v>
      </c>
      <c r="J23" s="180">
        <f>SUMIF($C106:$C166,"WIDE",$K106:$K166)</f>
        <v>52500</v>
      </c>
      <c r="K23" s="179">
        <f>SUM(G23,I23)</f>
        <v>118175.50</v>
      </c>
      <c r="L23" s="180">
        <f>SUM(H23,J23)</f>
        <v>113250</v>
      </c>
      <c r="M23" s="36"/>
    </row>
    <row r="24" spans="1:13" ht="15.75" thickBot="1">
      <c r="A24" s="184">
        <v>7</v>
      </c>
      <c r="B24" s="230" t="s">
        <v>116</v>
      </c>
      <c r="C24" s="231">
        <v>100</v>
      </c>
      <c r="D24" s="231">
        <f>IF(SUM(K24,L24)&lt;&gt;0,(L24/K24)*C24,0)</f>
        <v>98.10415759222327</v>
      </c>
      <c r="E24" s="232">
        <f>$C$11</f>
        <v>100.16682351333321</v>
      </c>
      <c r="F24" s="185" t="str">
        <f>IF(D24&lt;=E24,"Pass","Fail")</f>
        <v>Pass</v>
      </c>
      <c r="G24" s="181">
        <f>SUM(G18,G19,G22,G23,(SUMIF($C35:$C95,"MISC",$L35:$L95))*12)</f>
        <v>354375</v>
      </c>
      <c r="H24" s="182">
        <f>SUM(H18,H19,H22,H23,(SUMIF($C35:$C95,"MISC",$M35:$M95))*12)</f>
        <v>366525</v>
      </c>
      <c r="I24" s="181">
        <f>SUM(I18,I19,I22,I23,SUMIF($C106:$C166,"MISC",$J106:$J166))</f>
        <v>419318</v>
      </c>
      <c r="J24" s="182">
        <f>SUM(J18,J19,J22,J23,SUMIF($C106:$C166,"MISC",$K106:$K166))</f>
        <v>392500</v>
      </c>
      <c r="K24" s="181">
        <f>SUM(G24,I24)</f>
        <v>773693</v>
      </c>
      <c r="L24" s="182">
        <f>SUM(H24,J24)</f>
        <v>759025</v>
      </c>
      <c r="M24" s="36"/>
    </row>
    <row r="25" spans="1:12" s="92" customFormat="1" ht="15">
      <c r="A25" s="91"/>
      <c r="B25" s="175"/>
      <c r="C25" s="84"/>
      <c r="D25" s="85"/>
      <c r="E25" s="86"/>
      <c r="F25" s="87"/>
      <c r="G25" s="87"/>
      <c r="H25" s="87"/>
      <c r="I25" s="87"/>
      <c r="J25" s="87"/>
      <c r="K25" s="87"/>
      <c r="L25" s="91"/>
    </row>
    <row r="26" spans="1:12" s="92" customFormat="1" ht="15">
      <c r="A26" s="91"/>
      <c r="B26" s="175"/>
      <c r="C26" s="84"/>
      <c r="D26" s="85"/>
      <c r="E26" s="86"/>
      <c r="F26" s="87"/>
      <c r="G26" s="87"/>
      <c r="H26" s="87"/>
      <c r="I26" s="87"/>
      <c r="J26" s="87"/>
      <c r="K26" s="87"/>
      <c r="L26" s="91"/>
    </row>
    <row r="27" spans="1:16" ht="15.75" thickBot="1">
      <c r="A27" s="70"/>
      <c r="B27" s="176"/>
      <c r="C27" s="69"/>
      <c r="D27" s="93"/>
      <c r="E27" s="94"/>
      <c r="F27" s="94"/>
      <c r="G27" s="38"/>
      <c r="H27" s="17"/>
      <c r="I27" s="94"/>
      <c r="J27" s="89"/>
      <c r="K27" s="89"/>
      <c r="L27" s="89"/>
      <c r="N27" s="11"/>
      <c r="O27" s="11"/>
      <c r="P27" s="11"/>
    </row>
    <row r="28" spans="1:16" ht="14.45" customHeight="1">
      <c r="A28" s="260" t="s">
        <v>22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2"/>
      <c r="O28" s="95"/>
      <c r="P28" s="95"/>
    </row>
    <row r="29" spans="1:16" ht="14.45" customHeight="1" thickBot="1">
      <c r="A29" s="263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5"/>
      <c r="O29" s="95"/>
      <c r="P29" s="95"/>
    </row>
    <row r="30" spans="1:16" s="91" customFormat="1" ht="14.45" customHeight="1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</row>
    <row r="31" spans="2:16" ht="15.75">
      <c r="B31" s="97"/>
      <c r="C31" s="98"/>
      <c r="D31" s="99"/>
      <c r="E31" s="99"/>
      <c r="F31" s="99"/>
      <c r="G31" s="99"/>
      <c r="H31" s="99"/>
      <c r="I31" s="36"/>
      <c r="J31" s="100"/>
      <c r="K31" s="100"/>
      <c r="L31" s="259" t="s">
        <v>107</v>
      </c>
      <c r="M31" s="259"/>
      <c r="N31" s="259"/>
      <c r="O31" s="101"/>
      <c r="P31" s="70"/>
    </row>
    <row r="32" spans="1:14" s="72" customFormat="1" ht="194.25" customHeight="1">
      <c r="A32" s="102" t="s">
        <v>29</v>
      </c>
      <c r="B32" s="102" t="s">
        <v>23</v>
      </c>
      <c r="C32" s="103" t="s">
        <v>4</v>
      </c>
      <c r="D32" s="104" t="s">
        <v>87</v>
      </c>
      <c r="E32" s="104" t="s">
        <v>88</v>
      </c>
      <c r="F32" s="104" t="s">
        <v>89</v>
      </c>
      <c r="G32" s="104" t="s">
        <v>90</v>
      </c>
      <c r="H32" s="104" t="s">
        <v>91</v>
      </c>
      <c r="I32" s="105" t="s">
        <v>92</v>
      </c>
      <c r="J32" s="106" t="s">
        <v>93</v>
      </c>
      <c r="K32" s="106" t="s">
        <v>94</v>
      </c>
      <c r="L32" s="107" t="s">
        <v>95</v>
      </c>
      <c r="M32" s="107" t="s">
        <v>32</v>
      </c>
      <c r="N32" s="104" t="s">
        <v>96</v>
      </c>
    </row>
    <row r="33" spans="1:14" s="69" customFormat="1" ht="15">
      <c r="A33" s="108"/>
      <c r="B33" s="109"/>
      <c r="C33" s="102" t="str">
        <f>"Col "&amp;COLUMN(C34)+34</f>
        <v>Col 37</v>
      </c>
      <c r="D33" s="102" t="str">
        <f t="shared" si="5" ref="D33:N33">"Col "&amp;COLUMN(D34)+34</f>
        <v>Col 38</v>
      </c>
      <c r="E33" s="102" t="str">
        <f>"Col "&amp;COLUMN(E34)+34</f>
        <v>Col 39</v>
      </c>
      <c r="F33" s="102" t="str">
        <f>"Col "&amp;COLUMN(F34)+34</f>
        <v>Col 40</v>
      </c>
      <c r="G33" s="102" t="str">
        <f>"Col "&amp;COLUMN(G34)+34</f>
        <v>Col 41</v>
      </c>
      <c r="H33" s="102" t="str">
        <f>"Col "&amp;COLUMN(H34)+34</f>
        <v>Col 42</v>
      </c>
      <c r="I33" s="102" t="str">
        <f>"Col "&amp;COLUMN(I34)+34</f>
        <v>Col 43</v>
      </c>
      <c r="J33" s="102" t="str">
        <f>"Col "&amp;COLUMN(J34)+34</f>
        <v>Col 44</v>
      </c>
      <c r="K33" s="102" t="str">
        <f>"Col "&amp;COLUMN(K34)+34</f>
        <v>Col 45</v>
      </c>
      <c r="L33" s="102" t="str">
        <f>"Col "&amp;COLUMN(L34)+34</f>
        <v>Col 46</v>
      </c>
      <c r="M33" s="102" t="str">
        <f>"Col "&amp;COLUMN(M34)+34</f>
        <v>Col 47</v>
      </c>
      <c r="N33" s="102" t="str">
        <f>"Col "&amp;COLUMN(N34)+34</f>
        <v>Col 48</v>
      </c>
    </row>
    <row r="34" spans="1:14" s="69" customFormat="1" ht="126.6" customHeight="1">
      <c r="A34" s="102" t="s">
        <v>6</v>
      </c>
      <c r="B34" s="102" t="s">
        <v>6</v>
      </c>
      <c r="C34" s="20" t="s">
        <v>6</v>
      </c>
      <c r="D34" s="102" t="s">
        <v>6</v>
      </c>
      <c r="E34" s="110" t="str">
        <f>D33&amp;" X Category Relationship Unfreeze Factor X Net Contributor or Net Recipient Factor"</f>
        <v>Col 38 X Category Relationship Unfreeze Factor X Net Contributor or Net Recipient Factor</v>
      </c>
      <c r="F34" s="110" t="s">
        <v>6</v>
      </c>
      <c r="G34" s="110" t="str">
        <f>"("&amp;F33&amp;" / "&amp;E33&amp;")"&amp;" - 1"</f>
        <v>(Col 40 / Col 39) - 1</v>
      </c>
      <c r="H34" s="110" t="str">
        <f>"("&amp;F33&amp;" / "&amp;D33&amp;")"&amp;" - 1"</f>
        <v>(Col 40 / Col 38) - 1</v>
      </c>
      <c r="I34" s="111" t="s">
        <v>6</v>
      </c>
      <c r="J34" s="111" t="s">
        <v>6</v>
      </c>
      <c r="K34" s="111" t="s">
        <v>6</v>
      </c>
      <c r="L34" s="110" t="str">
        <f>"(("&amp;E33&amp;" X "&amp;I33&amp;") + ("&amp;E33&amp;" X "&amp;J33&amp;" X Appropriate Discount) + ("&amp;E33&amp;" X "&amp;K33&amp;" X Appropriate Discount))"</f>
        <v>((Col 39 X Col 43) + (Col 39 X Col 44 X Appropriate Discount) + (Col 39 X Col 45 X Appropriate Discount))</v>
      </c>
      <c r="M34" s="110" t="str">
        <f>"(("&amp;F33&amp;" X "&amp;I33&amp;") + ("&amp;F33&amp;" X "&amp;J33&amp;" X Appropriate Discount) + ("&amp;F33&amp;" X "&amp;K33&amp;" X Appropriate Discount))"</f>
        <v>((Col 40 X Col 43) + (Col 40 X Col 44 X Appropriate Discount) + (Col 40 X Col 45 X Appropriate Discount))</v>
      </c>
      <c r="N34" s="110" t="str">
        <f>M33&amp;" - "&amp;L33</f>
        <v>Col 47 - Col 46</v>
      </c>
    </row>
    <row r="35" spans="1:14" s="69" customFormat="1" ht="15">
      <c r="A35" s="112"/>
      <c r="B35" s="20" t="s">
        <v>45</v>
      </c>
      <c r="C35" s="20" t="s">
        <v>39</v>
      </c>
      <c r="D35" s="113"/>
      <c r="E35" s="113"/>
      <c r="F35" s="113"/>
      <c r="G35" s="113"/>
      <c r="H35" s="113"/>
      <c r="I35" s="114"/>
      <c r="J35" s="114"/>
      <c r="K35" s="114"/>
      <c r="L35" s="115"/>
      <c r="M35" s="115"/>
      <c r="N35" s="115"/>
    </row>
    <row r="36" spans="1:14" s="69" customFormat="1" ht="15">
      <c r="A36" s="112" t="s">
        <v>58</v>
      </c>
      <c r="B36" s="113" t="s">
        <v>59</v>
      </c>
      <c r="C36" s="116" t="s">
        <v>39</v>
      </c>
      <c r="D36" s="117">
        <v>5</v>
      </c>
      <c r="E36" s="117">
        <f>ROUND($D36*$C$9*$C$10,2)</f>
        <v>5.68</v>
      </c>
      <c r="F36" s="117">
        <v>7.50</v>
      </c>
      <c r="G36" s="118">
        <f>IFERROR(($F36/$E36)-1,0)</f>
        <v>0.32042253521126773</v>
      </c>
      <c r="H36" s="118">
        <f>IFERROR(($F36/$D36)-1,0)</f>
        <v>0.50</v>
      </c>
      <c r="I36" s="114">
        <v>100</v>
      </c>
      <c r="J36" s="114">
        <v>10</v>
      </c>
      <c r="K36" s="114">
        <v>5</v>
      </c>
      <c r="L36" s="119">
        <f>IFERROR((($E36*$I36)+($E36*$J36*0.8)+($E36*$K36*0.9)),0)</f>
        <v>639</v>
      </c>
      <c r="M36" s="119">
        <f>IFERROR((($F36*$I36)+($F36*$J36*0.8)+($F36*$K36*0.9)),0)</f>
        <v>843.75</v>
      </c>
      <c r="N36" s="119">
        <f>IFERROR($M36-$L36,0)</f>
        <v>204.75</v>
      </c>
    </row>
    <row r="37" spans="1:14" s="69" customFormat="1" ht="15">
      <c r="A37" s="112"/>
      <c r="B37" s="113"/>
      <c r="C37" s="116"/>
      <c r="D37" s="117"/>
      <c r="E37" s="117">
        <f>ROUND($D37*$C$9*$C$10,2)</f>
        <v>0</v>
      </c>
      <c r="F37" s="117"/>
      <c r="G37" s="118">
        <f>IFERROR(($F37/$E37)-1,0)</f>
        <v>0</v>
      </c>
      <c r="H37" s="118">
        <f t="shared" si="6" ref="H37:H40">IFERROR(($F37/$D37)-1,0)</f>
        <v>0</v>
      </c>
      <c r="I37" s="114"/>
      <c r="J37" s="114"/>
      <c r="K37" s="114"/>
      <c r="L37" s="119">
        <f t="shared" si="7" ref="L37:L40">IFERROR((($E37*$I37)+($E37*$J37*0.8)+($E37*$K37*0.9)),0)</f>
        <v>0</v>
      </c>
      <c r="M37" s="119">
        <f t="shared" si="8" ref="M37:M40">IFERROR((($F37*$I37)+($F37*$J37*0.8)+($F37*$K37*0.9)),0)</f>
        <v>0</v>
      </c>
      <c r="N37" s="119">
        <f>IFERROR($M37-$L37,0)</f>
        <v>0</v>
      </c>
    </row>
    <row r="38" spans="1:14" s="69" customFormat="1" ht="15">
      <c r="A38" s="112"/>
      <c r="B38" s="113"/>
      <c r="C38" s="116"/>
      <c r="D38" s="117"/>
      <c r="E38" s="117">
        <f>ROUND($D38*$C$9*$C$10,2)</f>
        <v>0</v>
      </c>
      <c r="F38" s="117"/>
      <c r="G38" s="118">
        <f t="shared" si="9" ref="G38:G40">IFERROR(($F38/$E38)-1,0)</f>
        <v>0</v>
      </c>
      <c r="H38" s="118">
        <f>IFERROR(($F38/$D38)-1,0)</f>
        <v>0</v>
      </c>
      <c r="I38" s="114"/>
      <c r="J38" s="114"/>
      <c r="K38" s="114"/>
      <c r="L38" s="119">
        <f>IFERROR((($E38*$I38)+($E38*$J38*0.8)+($E38*$K38*0.9)),0)</f>
        <v>0</v>
      </c>
      <c r="M38" s="119">
        <f>IFERROR((($F38*$I38)+($F38*$J38*0.8)+($F38*$K38*0.9)),0)</f>
        <v>0</v>
      </c>
      <c r="N38" s="119">
        <f>IFERROR($M38-$L38,0)</f>
        <v>0</v>
      </c>
    </row>
    <row r="39" spans="1:14" s="69" customFormat="1" ht="15">
      <c r="A39" s="112"/>
      <c r="B39" s="113"/>
      <c r="C39" s="116"/>
      <c r="D39" s="117"/>
      <c r="E39" s="117">
        <f>ROUND($D39*$C$9*$C$10,2)</f>
        <v>0</v>
      </c>
      <c r="F39" s="117"/>
      <c r="G39" s="118">
        <f>IFERROR(($F39/$E39)-1,0)</f>
        <v>0</v>
      </c>
      <c r="H39" s="118">
        <f>IFERROR(($F39/$D39)-1,0)</f>
        <v>0</v>
      </c>
      <c r="I39" s="114"/>
      <c r="J39" s="114"/>
      <c r="K39" s="114"/>
      <c r="L39" s="119">
        <f>IFERROR((($E39*$I39)+($E39*$J39*0.8)+($E39*$K39*0.9)),0)</f>
        <v>0</v>
      </c>
      <c r="M39" s="119">
        <f>IFERROR((($F39*$I39)+($F39*$J39*0.8)+($F39*$K39*0.9)),0)</f>
        <v>0</v>
      </c>
      <c r="N39" s="119">
        <f>IFERROR($M39-$L39,0)</f>
        <v>0</v>
      </c>
    </row>
    <row r="40" spans="1:14" s="69" customFormat="1" ht="15">
      <c r="A40" s="112"/>
      <c r="B40" s="113"/>
      <c r="C40" s="116"/>
      <c r="D40" s="117"/>
      <c r="E40" s="117">
        <f>ROUND($D40*$C$9*$C$10,2)</f>
        <v>0</v>
      </c>
      <c r="F40" s="117"/>
      <c r="G40" s="118">
        <f>IFERROR(($F40/$E40)-1,0)</f>
        <v>0</v>
      </c>
      <c r="H40" s="118">
        <f>IFERROR(($F40/$D40)-1,0)</f>
        <v>0</v>
      </c>
      <c r="I40" s="114"/>
      <c r="J40" s="114"/>
      <c r="K40" s="114"/>
      <c r="L40" s="119">
        <f>IFERROR((($E40*$I40)+($E40*$J40*0.8)+($E40*$K40*0.9)),0)</f>
        <v>0</v>
      </c>
      <c r="M40" s="119">
        <f>IFERROR((($F40*$I40)+($F40*$J40*0.8)+($F40*$K40*0.9)),0)</f>
        <v>0</v>
      </c>
      <c r="N40" s="119">
        <f>IFERROR($M40-$L40,0)</f>
        <v>0</v>
      </c>
    </row>
    <row r="41" spans="1:14" s="69" customFormat="1" ht="15">
      <c r="A41" s="112"/>
      <c r="B41" s="20" t="s">
        <v>44</v>
      </c>
      <c r="C41" s="20" t="s">
        <v>40</v>
      </c>
      <c r="D41" s="117"/>
      <c r="E41" s="117"/>
      <c r="F41" s="117"/>
      <c r="G41" s="118"/>
      <c r="H41" s="118"/>
      <c r="I41" s="114"/>
      <c r="J41" s="114"/>
      <c r="K41" s="114"/>
      <c r="L41" s="115"/>
      <c r="M41" s="115"/>
      <c r="N41" s="115"/>
    </row>
    <row r="42" spans="1:14" s="69" customFormat="1" ht="15">
      <c r="A42" s="112" t="s">
        <v>58</v>
      </c>
      <c r="B42" s="113" t="s">
        <v>60</v>
      </c>
      <c r="C42" s="116" t="s">
        <v>40</v>
      </c>
      <c r="D42" s="117">
        <v>10</v>
      </c>
      <c r="E42" s="117">
        <f>ROUND($D42*$C$9*$C$10,2)</f>
        <v>11.36</v>
      </c>
      <c r="F42" s="117">
        <v>15</v>
      </c>
      <c r="G42" s="118">
        <f>IFERROR(($F42/$E42)-1,0)</f>
        <v>0.32042253521126773</v>
      </c>
      <c r="H42" s="118">
        <f>IFERROR(($F42/$D42)-1,0)</f>
        <v>0.50</v>
      </c>
      <c r="I42" s="114">
        <v>100</v>
      </c>
      <c r="J42" s="114">
        <v>10</v>
      </c>
      <c r="K42" s="114">
        <v>5</v>
      </c>
      <c r="L42" s="119">
        <f>IFERROR((($E42*$I42)+($E42*$J42*0.8)+($E42*$K42*0.9)),0)</f>
        <v>1278</v>
      </c>
      <c r="M42" s="119">
        <f>IFERROR((($F42*$I42)+($F42*$J42*0.8)+($F42*$K42*0.9)),0)</f>
        <v>1687.50</v>
      </c>
      <c r="N42" s="119">
        <f>IFERROR($M42-$L42,0)</f>
        <v>409.50</v>
      </c>
    </row>
    <row r="43" spans="1:14" s="69" customFormat="1" ht="15">
      <c r="A43" s="112"/>
      <c r="B43" s="113"/>
      <c r="C43" s="116"/>
      <c r="D43" s="117"/>
      <c r="E43" s="117">
        <f>ROUND($D43*$C$9*$C$10,2)</f>
        <v>0</v>
      </c>
      <c r="F43" s="117"/>
      <c r="G43" s="118">
        <f>IFERROR(($F43/$E43)-1,0)</f>
        <v>0</v>
      </c>
      <c r="H43" s="118">
        <f t="shared" si="10" ref="H43:H46">IFERROR(($F43/$D43)-1,0)</f>
        <v>0</v>
      </c>
      <c r="I43" s="114"/>
      <c r="J43" s="114"/>
      <c r="K43" s="114"/>
      <c r="L43" s="119">
        <f t="shared" si="11" ref="L43:L46">IFERROR((($E43*$I43)+($E43*$J43*0.8)+($E43*$K43*0.9)),0)</f>
        <v>0</v>
      </c>
      <c r="M43" s="119">
        <f t="shared" si="12" ref="M43:M46">IFERROR((($F43*$I43)+($F43*$J43*0.8)+($F43*$K43*0.9)),0)</f>
        <v>0</v>
      </c>
      <c r="N43" s="119">
        <f>IFERROR($M43-$L43,0)</f>
        <v>0</v>
      </c>
    </row>
    <row r="44" spans="1:14" s="69" customFormat="1" ht="15">
      <c r="A44" s="112"/>
      <c r="B44" s="113"/>
      <c r="C44" s="116"/>
      <c r="D44" s="117"/>
      <c r="E44" s="117">
        <f>ROUND($D44*$C$9*$C$10,2)</f>
        <v>0</v>
      </c>
      <c r="F44" s="117"/>
      <c r="G44" s="118">
        <f t="shared" si="13" ref="G44:G46">IFERROR(($F44/$E44)-1,0)</f>
        <v>0</v>
      </c>
      <c r="H44" s="118">
        <f>IFERROR(($F44/$D44)-1,0)</f>
        <v>0</v>
      </c>
      <c r="I44" s="114"/>
      <c r="J44" s="114"/>
      <c r="K44" s="114"/>
      <c r="L44" s="119">
        <f>IFERROR((($E44*$I44)+($E44*$J44*0.8)+($E44*$K44*0.9)),0)</f>
        <v>0</v>
      </c>
      <c r="M44" s="119">
        <f>IFERROR((($F44*$I44)+($F44*$J44*0.8)+($F44*$K44*0.9)),0)</f>
        <v>0</v>
      </c>
      <c r="N44" s="119">
        <f>IFERROR($M44-$L44,0)</f>
        <v>0</v>
      </c>
    </row>
    <row r="45" spans="1:14" s="69" customFormat="1" ht="15">
      <c r="A45" s="112"/>
      <c r="B45" s="113"/>
      <c r="C45" s="116"/>
      <c r="D45" s="117"/>
      <c r="E45" s="117">
        <f>ROUND($D45*$C$9*$C$10,2)</f>
        <v>0</v>
      </c>
      <c r="F45" s="117"/>
      <c r="G45" s="118">
        <f>IFERROR(($F45/$E45)-1,0)</f>
        <v>0</v>
      </c>
      <c r="H45" s="118">
        <f>IFERROR(($F45/$D45)-1,0)</f>
        <v>0</v>
      </c>
      <c r="I45" s="114"/>
      <c r="J45" s="114"/>
      <c r="K45" s="114"/>
      <c r="L45" s="119">
        <f>IFERROR((($E45*$I45)+($E45*$J45*0.8)+($E45*$K45*0.9)),0)</f>
        <v>0</v>
      </c>
      <c r="M45" s="119">
        <f>IFERROR((($F45*$I45)+($F45*$J45*0.8)+($F45*$K45*0.9)),0)</f>
        <v>0</v>
      </c>
      <c r="N45" s="119">
        <f>IFERROR($M45-$L45,0)</f>
        <v>0</v>
      </c>
    </row>
    <row r="46" spans="1:14" s="69" customFormat="1" ht="15">
      <c r="A46" s="112"/>
      <c r="B46" s="113"/>
      <c r="C46" s="116"/>
      <c r="D46" s="117"/>
      <c r="E46" s="117">
        <f>ROUND($D46*$C$9*$C$10,2)</f>
        <v>0</v>
      </c>
      <c r="F46" s="117"/>
      <c r="G46" s="118">
        <f>IFERROR(($F46/$E46)-1,0)</f>
        <v>0</v>
      </c>
      <c r="H46" s="118">
        <f>IFERROR(($F46/$D46)-1,0)</f>
        <v>0</v>
      </c>
      <c r="I46" s="114"/>
      <c r="J46" s="114"/>
      <c r="K46" s="114"/>
      <c r="L46" s="119">
        <f>IFERROR((($E46*$I46)+($E46*$J46*0.8)+($E46*$K46*0.9)),0)</f>
        <v>0</v>
      </c>
      <c r="M46" s="119">
        <f>IFERROR((($F46*$I46)+($F46*$J46*0.8)+($F46*$K46*0.9)),0)</f>
        <v>0</v>
      </c>
      <c r="N46" s="119">
        <f>IFERROR($M46-$L46,0)</f>
        <v>0</v>
      </c>
    </row>
    <row r="47" spans="1:14" s="69" customFormat="1" ht="15">
      <c r="A47" s="112"/>
      <c r="B47" s="20" t="s">
        <v>43</v>
      </c>
      <c r="C47" s="20" t="s">
        <v>41</v>
      </c>
      <c r="D47" s="117"/>
      <c r="E47" s="117"/>
      <c r="F47" s="117"/>
      <c r="G47" s="118"/>
      <c r="H47" s="118"/>
      <c r="I47" s="114"/>
      <c r="J47" s="114"/>
      <c r="K47" s="114"/>
      <c r="L47" s="115"/>
      <c r="M47" s="115"/>
      <c r="N47" s="115"/>
    </row>
    <row r="48" spans="1:14" s="69" customFormat="1" ht="15">
      <c r="A48" s="112" t="s">
        <v>58</v>
      </c>
      <c r="B48" s="113" t="s">
        <v>61</v>
      </c>
      <c r="C48" s="116" t="s">
        <v>41</v>
      </c>
      <c r="D48" s="117">
        <v>15</v>
      </c>
      <c r="E48" s="117">
        <f>ROUND($D48*$C$9*$C$10,2)</f>
        <v>17.05</v>
      </c>
      <c r="F48" s="117">
        <v>17.50</v>
      </c>
      <c r="G48" s="118">
        <f>IFERROR(($F48/$E48)-1,0)</f>
        <v>0.02639296187683282</v>
      </c>
      <c r="H48" s="118">
        <f>IFERROR(($F48/$D48)-1,0)</f>
        <v>0.16666666666666674</v>
      </c>
      <c r="I48" s="114">
        <v>100</v>
      </c>
      <c r="J48" s="114">
        <v>10</v>
      </c>
      <c r="K48" s="114">
        <v>5</v>
      </c>
      <c r="L48" s="119">
        <f>IFERROR((($E48*$I48)+($E48*$J48*0.8)+($E48*$K48*0.9)),0)</f>
        <v>1918.125</v>
      </c>
      <c r="M48" s="119">
        <f>IFERROR((($F48*$I48)+($F48*$J48*0.8)+($F48*$K48*0.9)),0)</f>
        <v>1968.75</v>
      </c>
      <c r="N48" s="119">
        <f>IFERROR($M48-$L48,0)</f>
        <v>50.625</v>
      </c>
    </row>
    <row r="49" spans="1:14" s="69" customFormat="1" ht="15">
      <c r="A49" s="112"/>
      <c r="B49" s="113"/>
      <c r="C49" s="116"/>
      <c r="D49" s="117"/>
      <c r="E49" s="117">
        <f>ROUND($D49*$C$9*$C$10,2)</f>
        <v>0</v>
      </c>
      <c r="F49" s="117"/>
      <c r="G49" s="118">
        <f>IFERROR(($F49/$E49)-1,0)</f>
        <v>0</v>
      </c>
      <c r="H49" s="118">
        <f t="shared" si="14" ref="H49:H52">IFERROR(($F49/$D49)-1,0)</f>
        <v>0</v>
      </c>
      <c r="I49" s="114"/>
      <c r="J49" s="114"/>
      <c r="K49" s="114"/>
      <c r="L49" s="119">
        <f t="shared" si="15" ref="L49:L52">IFERROR((($E49*$I49)+($E49*$J49*0.8)+($E49*$K49*0.9)),0)</f>
        <v>0</v>
      </c>
      <c r="M49" s="119">
        <f t="shared" si="16" ref="M49:M52">IFERROR((($F49*$I49)+($F49*$J49*0.8)+($F49*$K49*0.9)),0)</f>
        <v>0</v>
      </c>
      <c r="N49" s="119">
        <f>IFERROR($M49-$L49,0)</f>
        <v>0</v>
      </c>
    </row>
    <row r="50" spans="1:14" s="69" customFormat="1" ht="15">
      <c r="A50" s="112"/>
      <c r="B50" s="113"/>
      <c r="C50" s="116"/>
      <c r="D50" s="117"/>
      <c r="E50" s="117">
        <f>ROUND($D50*$C$9*$C$10,2)</f>
        <v>0</v>
      </c>
      <c r="F50" s="117"/>
      <c r="G50" s="118">
        <f t="shared" si="17" ref="G50:G52">IFERROR(($F50/$E50)-1,0)</f>
        <v>0</v>
      </c>
      <c r="H50" s="118">
        <f>IFERROR(($F50/$D50)-1,0)</f>
        <v>0</v>
      </c>
      <c r="I50" s="114"/>
      <c r="J50" s="114"/>
      <c r="K50" s="114"/>
      <c r="L50" s="119">
        <f>IFERROR((($E50*$I50)+($E50*$J50*0.8)+($E50*$K50*0.9)),0)</f>
        <v>0</v>
      </c>
      <c r="M50" s="119">
        <f>IFERROR((($F50*$I50)+($F50*$J50*0.8)+($F50*$K50*0.9)),0)</f>
        <v>0</v>
      </c>
      <c r="N50" s="119">
        <f>IFERROR($M50-$L50,0)</f>
        <v>0</v>
      </c>
    </row>
    <row r="51" spans="1:14" s="69" customFormat="1" ht="15">
      <c r="A51" s="112"/>
      <c r="B51" s="113"/>
      <c r="C51" s="116"/>
      <c r="D51" s="117"/>
      <c r="E51" s="117">
        <f>ROUND($D51*$C$9*$C$10,2)</f>
        <v>0</v>
      </c>
      <c r="F51" s="117"/>
      <c r="G51" s="118">
        <f>IFERROR(($F51/$E51)-1,0)</f>
        <v>0</v>
      </c>
      <c r="H51" s="118">
        <f>IFERROR(($F51/$D51)-1,0)</f>
        <v>0</v>
      </c>
      <c r="I51" s="114"/>
      <c r="J51" s="114"/>
      <c r="K51" s="114"/>
      <c r="L51" s="119">
        <f>IFERROR((($E51*$I51)+($E51*$J51*0.8)+($E51*$K51*0.9)),0)</f>
        <v>0</v>
      </c>
      <c r="M51" s="119">
        <f>IFERROR((($F51*$I51)+($F51*$J51*0.8)+($F51*$K51*0.9)),0)</f>
        <v>0</v>
      </c>
      <c r="N51" s="119">
        <f>IFERROR($M51-$L51,0)</f>
        <v>0</v>
      </c>
    </row>
    <row r="52" spans="1:14" s="69" customFormat="1" ht="15">
      <c r="A52" s="112"/>
      <c r="B52" s="113"/>
      <c r="C52" s="116"/>
      <c r="D52" s="117"/>
      <c r="E52" s="117">
        <f>ROUND($D52*$C$9*$C$10,2)</f>
        <v>0</v>
      </c>
      <c r="F52" s="117"/>
      <c r="G52" s="118">
        <f>IFERROR(($F52/$E52)-1,0)</f>
        <v>0</v>
      </c>
      <c r="H52" s="118">
        <f>IFERROR(($F52/$D52)-1,0)</f>
        <v>0</v>
      </c>
      <c r="I52" s="114"/>
      <c r="J52" s="114"/>
      <c r="K52" s="114"/>
      <c r="L52" s="119">
        <f>IFERROR((($E52*$I52)+($E52*$J52*0.8)+($E52*$K52*0.9)),0)</f>
        <v>0</v>
      </c>
      <c r="M52" s="119">
        <f>IFERROR((($F52*$I52)+($F52*$J52*0.8)+($F52*$K52*0.9)),0)</f>
        <v>0</v>
      </c>
      <c r="N52" s="119">
        <f>IFERROR($M52-$L52,0)</f>
        <v>0</v>
      </c>
    </row>
    <row r="53" spans="1:14" s="69" customFormat="1" ht="15">
      <c r="A53" s="112"/>
      <c r="B53" s="20" t="s">
        <v>42</v>
      </c>
      <c r="C53" s="20" t="s">
        <v>57</v>
      </c>
      <c r="D53" s="117"/>
      <c r="E53" s="117"/>
      <c r="F53" s="117"/>
      <c r="G53" s="118"/>
      <c r="H53" s="118"/>
      <c r="I53" s="114"/>
      <c r="J53" s="114"/>
      <c r="K53" s="114"/>
      <c r="L53" s="115"/>
      <c r="M53" s="115"/>
      <c r="N53" s="115"/>
    </row>
    <row r="54" spans="1:14" s="69" customFormat="1" ht="15">
      <c r="A54" s="112" t="s">
        <v>58</v>
      </c>
      <c r="B54" s="113" t="s">
        <v>62</v>
      </c>
      <c r="C54" s="116" t="s">
        <v>57</v>
      </c>
      <c r="D54" s="117">
        <v>1</v>
      </c>
      <c r="E54" s="117">
        <f>ROUND($D54*$C$9*$C$10,2)</f>
        <v>1.14</v>
      </c>
      <c r="F54" s="117">
        <v>1.50</v>
      </c>
      <c r="G54" s="118">
        <f>IFERROR(($F54/$E54)-1,0)</f>
        <v>0.3157894736842106</v>
      </c>
      <c r="H54" s="118">
        <f>IFERROR(($F54/$D54)-1,0)</f>
        <v>0.50</v>
      </c>
      <c r="I54" s="114">
        <v>100</v>
      </c>
      <c r="J54" s="114">
        <v>10</v>
      </c>
      <c r="K54" s="114">
        <v>5</v>
      </c>
      <c r="L54" s="119">
        <f>IFERROR((($E54*$I54)+($E54*$J54*0.8)+($E54*$K54*0.9)),0)</f>
        <v>128.25</v>
      </c>
      <c r="M54" s="119">
        <f>IFERROR((($F54*$I54)+($F54*$J54*0.8)+($F54*$K54*0.9)),0)</f>
        <v>168.75</v>
      </c>
      <c r="N54" s="119">
        <f>IFERROR($M54-$L54,0)</f>
        <v>40.50</v>
      </c>
    </row>
    <row r="55" spans="1:14" s="69" customFormat="1" ht="15">
      <c r="A55" s="112"/>
      <c r="B55" s="113"/>
      <c r="C55" s="116"/>
      <c r="D55" s="117"/>
      <c r="E55" s="117">
        <f>ROUND($D55*$C$9*$C$10,2)</f>
        <v>0</v>
      </c>
      <c r="F55" s="117"/>
      <c r="G55" s="118">
        <f>IFERROR(($F55/$E55)-1,0)</f>
        <v>0</v>
      </c>
      <c r="H55" s="118">
        <f t="shared" si="18" ref="H55:H58">IFERROR(($F55/$D55)-1,0)</f>
        <v>0</v>
      </c>
      <c r="I55" s="114"/>
      <c r="J55" s="114"/>
      <c r="K55" s="114"/>
      <c r="L55" s="119">
        <f t="shared" si="19" ref="L55:L58">IFERROR((($E55*$I55)+($E55*$J55*0.8)+($E55*$K55*0.9)),0)</f>
        <v>0</v>
      </c>
      <c r="M55" s="119">
        <f t="shared" si="20" ref="M55:M58">IFERROR((($F55*$I55)+($F55*$J55*0.8)+($F55*$K55*0.9)),0)</f>
        <v>0</v>
      </c>
      <c r="N55" s="119">
        <f>IFERROR($M55-$L55,0)</f>
        <v>0</v>
      </c>
    </row>
    <row r="56" spans="1:14" s="69" customFormat="1" ht="15">
      <c r="A56" s="112"/>
      <c r="B56" s="113"/>
      <c r="C56" s="116"/>
      <c r="D56" s="117"/>
      <c r="E56" s="117">
        <f>ROUND($D56*$C$9*$C$10,2)</f>
        <v>0</v>
      </c>
      <c r="F56" s="117"/>
      <c r="G56" s="118">
        <f t="shared" si="21" ref="G56:G58">IFERROR(($F56/$E56)-1,0)</f>
        <v>0</v>
      </c>
      <c r="H56" s="118">
        <f>IFERROR(($F56/$D56)-1,0)</f>
        <v>0</v>
      </c>
      <c r="I56" s="114"/>
      <c r="J56" s="114"/>
      <c r="K56" s="114"/>
      <c r="L56" s="119">
        <f>IFERROR((($E56*$I56)+($E56*$J56*0.8)+($E56*$K56*0.9)),0)</f>
        <v>0</v>
      </c>
      <c r="M56" s="119">
        <f>IFERROR((($F56*$I56)+($F56*$J56*0.8)+($F56*$K56*0.9)),0)</f>
        <v>0</v>
      </c>
      <c r="N56" s="119">
        <f>IFERROR($M56-$L56,0)</f>
        <v>0</v>
      </c>
    </row>
    <row r="57" spans="1:14" s="69" customFormat="1" ht="15">
      <c r="A57" s="112"/>
      <c r="B57" s="113"/>
      <c r="C57" s="116"/>
      <c r="D57" s="117"/>
      <c r="E57" s="117">
        <f>ROUND($D57*$C$9*$C$10,2)</f>
        <v>0</v>
      </c>
      <c r="F57" s="117"/>
      <c r="G57" s="118">
        <f>IFERROR(($F57/$E57)-1,0)</f>
        <v>0</v>
      </c>
      <c r="H57" s="118">
        <f>IFERROR(($F57/$D57)-1,0)</f>
        <v>0</v>
      </c>
      <c r="I57" s="114"/>
      <c r="J57" s="114"/>
      <c r="K57" s="114"/>
      <c r="L57" s="119">
        <f>IFERROR((($E57*$I57)+($E57*$J57*0.8)+($E57*$K57*0.9)),0)</f>
        <v>0</v>
      </c>
      <c r="M57" s="119">
        <f>IFERROR((($F57*$I57)+($F57*$J57*0.8)+($F57*$K57*0.9)),0)</f>
        <v>0</v>
      </c>
      <c r="N57" s="119">
        <f>IFERROR($M57-$L57,0)</f>
        <v>0</v>
      </c>
    </row>
    <row r="58" spans="1:14" s="69" customFormat="1" ht="15">
      <c r="A58" s="112"/>
      <c r="B58" s="113"/>
      <c r="C58" s="116"/>
      <c r="D58" s="117"/>
      <c r="E58" s="117">
        <f>ROUND($D58*$C$9*$C$10,2)</f>
        <v>0</v>
      </c>
      <c r="F58" s="117"/>
      <c r="G58" s="118">
        <f>IFERROR(($F58/$E58)-1,0)</f>
        <v>0</v>
      </c>
      <c r="H58" s="118">
        <f>IFERROR(($F58/$D58)-1,0)</f>
        <v>0</v>
      </c>
      <c r="I58" s="114"/>
      <c r="J58" s="114"/>
      <c r="K58" s="114"/>
      <c r="L58" s="119">
        <f>IFERROR((($E58*$I58)+($E58*$J58*0.8)+($E58*$K58*0.9)),0)</f>
        <v>0</v>
      </c>
      <c r="M58" s="119">
        <f>IFERROR((($F58*$I58)+($F58*$J58*0.8)+($F58*$K58*0.9)),0)</f>
        <v>0</v>
      </c>
      <c r="N58" s="119">
        <f>IFERROR($M58-$L58,0)</f>
        <v>0</v>
      </c>
    </row>
    <row r="59" spans="1:14" s="69" customFormat="1" ht="15">
      <c r="A59" s="112"/>
      <c r="B59" s="20" t="s">
        <v>46</v>
      </c>
      <c r="C59" s="20" t="s">
        <v>47</v>
      </c>
      <c r="D59" s="117"/>
      <c r="E59" s="117"/>
      <c r="F59" s="117"/>
      <c r="G59" s="118"/>
      <c r="H59" s="118"/>
      <c r="I59" s="114"/>
      <c r="J59" s="114"/>
      <c r="K59" s="114"/>
      <c r="L59" s="115"/>
      <c r="M59" s="115"/>
      <c r="N59" s="115"/>
    </row>
    <row r="60" spans="1:14" s="69" customFormat="1" ht="15">
      <c r="A60" s="112" t="s">
        <v>58</v>
      </c>
      <c r="B60" s="113" t="s">
        <v>63</v>
      </c>
      <c r="C60" s="116" t="s">
        <v>47</v>
      </c>
      <c r="D60" s="117">
        <v>20</v>
      </c>
      <c r="E60" s="117">
        <f>ROUND($D60*$C$9*$C$10,2)</f>
        <v>22.73</v>
      </c>
      <c r="F60" s="117">
        <v>25</v>
      </c>
      <c r="G60" s="118">
        <f>IFERROR(($F60/$E60)-1,0)</f>
        <v>0.09986801583809934</v>
      </c>
      <c r="H60" s="118">
        <f>IFERROR(($F60/$D60)-1,0)</f>
        <v>0.25</v>
      </c>
      <c r="I60" s="114">
        <v>100</v>
      </c>
      <c r="J60" s="114">
        <v>10</v>
      </c>
      <c r="K60" s="114">
        <v>5</v>
      </c>
      <c r="L60" s="119">
        <f>IFERROR((($E60*$I60)+($E60*$J60*0.8)+($E60*$K60*0.9)),0)</f>
        <v>2557.125</v>
      </c>
      <c r="M60" s="119">
        <f>IFERROR((($F60*$I60)+($F60*$J60*0.8)+($F60*$K60*0.9)),0)</f>
        <v>2812.50</v>
      </c>
      <c r="N60" s="119">
        <f>IFERROR($M60-$L60,0)</f>
        <v>255.375</v>
      </c>
    </row>
    <row r="61" spans="1:14" s="69" customFormat="1" ht="15">
      <c r="A61" s="112"/>
      <c r="B61" s="113"/>
      <c r="C61" s="116"/>
      <c r="D61" s="117"/>
      <c r="E61" s="117">
        <f>ROUND($D61*$C$9*$C$10,2)</f>
        <v>0</v>
      </c>
      <c r="F61" s="117"/>
      <c r="G61" s="118">
        <f>IFERROR(($F61/$E61)-1,0)</f>
        <v>0</v>
      </c>
      <c r="H61" s="118">
        <f t="shared" si="22" ref="H61:H64">IFERROR(($F61/$D61)-1,0)</f>
        <v>0</v>
      </c>
      <c r="I61" s="114"/>
      <c r="J61" s="114"/>
      <c r="K61" s="114"/>
      <c r="L61" s="119">
        <f t="shared" si="23" ref="L61:L64">IFERROR((($E61*$I61)+($E61*$J61*0.8)+($E61*$K61*0.9)),0)</f>
        <v>0</v>
      </c>
      <c r="M61" s="119">
        <f t="shared" si="24" ref="M61:M64">IFERROR((($F61*$I61)+($F61*$J61*0.8)+($F61*$K61*0.9)),0)</f>
        <v>0</v>
      </c>
      <c r="N61" s="119">
        <f>IFERROR($M61-$L61,0)</f>
        <v>0</v>
      </c>
    </row>
    <row r="62" spans="1:14" s="69" customFormat="1" ht="15">
      <c r="A62" s="112"/>
      <c r="B62" s="113"/>
      <c r="C62" s="116"/>
      <c r="D62" s="117"/>
      <c r="E62" s="117">
        <f>ROUND($D62*$C$9*$C$10,2)</f>
        <v>0</v>
      </c>
      <c r="F62" s="117"/>
      <c r="G62" s="118">
        <f t="shared" si="25" ref="G62:G64">IFERROR(($F62/$E62)-1,0)</f>
        <v>0</v>
      </c>
      <c r="H62" s="118">
        <f>IFERROR(($F62/$D62)-1,0)</f>
        <v>0</v>
      </c>
      <c r="I62" s="114"/>
      <c r="J62" s="114"/>
      <c r="K62" s="114"/>
      <c r="L62" s="119">
        <f>IFERROR((($E62*$I62)+($E62*$J62*0.8)+($E62*$K62*0.9)),0)</f>
        <v>0</v>
      </c>
      <c r="M62" s="119">
        <f>IFERROR((($F62*$I62)+($F62*$J62*0.8)+($F62*$K62*0.9)),0)</f>
        <v>0</v>
      </c>
      <c r="N62" s="119">
        <f>IFERROR($M62-$L62,0)</f>
        <v>0</v>
      </c>
    </row>
    <row r="63" spans="1:14" s="69" customFormat="1" ht="15">
      <c r="A63" s="112"/>
      <c r="B63" s="113"/>
      <c r="C63" s="116"/>
      <c r="D63" s="117"/>
      <c r="E63" s="117">
        <f>ROUND($D63*$C$9*$C$10,2)</f>
        <v>0</v>
      </c>
      <c r="F63" s="117"/>
      <c r="G63" s="118">
        <f>IFERROR(($F63/$E63)-1,0)</f>
        <v>0</v>
      </c>
      <c r="H63" s="118">
        <f>IFERROR(($F63/$D63)-1,0)</f>
        <v>0</v>
      </c>
      <c r="I63" s="114"/>
      <c r="J63" s="114"/>
      <c r="K63" s="114"/>
      <c r="L63" s="119">
        <f>IFERROR((($E63*$I63)+($E63*$J63*0.8)+($E63*$K63*0.9)),0)</f>
        <v>0</v>
      </c>
      <c r="M63" s="119">
        <f>IFERROR((($F63*$I63)+($F63*$J63*0.8)+($F63*$K63*0.9)),0)</f>
        <v>0</v>
      </c>
      <c r="N63" s="119">
        <f>IFERROR($M63-$L63,0)</f>
        <v>0</v>
      </c>
    </row>
    <row r="64" spans="1:14" s="69" customFormat="1" ht="15">
      <c r="A64" s="112"/>
      <c r="B64" s="113"/>
      <c r="C64" s="116"/>
      <c r="D64" s="117"/>
      <c r="E64" s="117">
        <f>ROUND($D64*$C$9*$C$10,2)</f>
        <v>0</v>
      </c>
      <c r="F64" s="117"/>
      <c r="G64" s="118">
        <f>IFERROR(($F64/$E64)-1,0)</f>
        <v>0</v>
      </c>
      <c r="H64" s="118">
        <f>IFERROR(($F64/$D64)-1,0)</f>
        <v>0</v>
      </c>
      <c r="I64" s="114"/>
      <c r="J64" s="114"/>
      <c r="K64" s="114"/>
      <c r="L64" s="119">
        <f>IFERROR((($E64*$I64)+($E64*$J64*0.8)+($E64*$K64*0.9)),0)</f>
        <v>0</v>
      </c>
      <c r="M64" s="119">
        <f>IFERROR((($F64*$I64)+($F64*$J64*0.8)+($F64*$K64*0.9)),0)</f>
        <v>0</v>
      </c>
      <c r="N64" s="119">
        <f>IFERROR($M64-$L64,0)</f>
        <v>0</v>
      </c>
    </row>
    <row r="65" spans="1:14" s="69" customFormat="1" ht="15">
      <c r="A65" s="112"/>
      <c r="B65" s="20" t="s">
        <v>48</v>
      </c>
      <c r="C65" s="20" t="s">
        <v>49</v>
      </c>
      <c r="D65" s="117"/>
      <c r="E65" s="117"/>
      <c r="F65" s="117"/>
      <c r="G65" s="118"/>
      <c r="H65" s="118"/>
      <c r="I65" s="114"/>
      <c r="J65" s="114"/>
      <c r="K65" s="114"/>
      <c r="L65" s="115"/>
      <c r="M65" s="115"/>
      <c r="N65" s="115"/>
    </row>
    <row r="66" spans="1:14" s="69" customFormat="1" ht="15">
      <c r="A66" s="112" t="s">
        <v>58</v>
      </c>
      <c r="B66" s="113" t="s">
        <v>64</v>
      </c>
      <c r="C66" s="116" t="s">
        <v>49</v>
      </c>
      <c r="D66" s="117">
        <v>25</v>
      </c>
      <c r="E66" s="117">
        <f>ROUND($D66*$C$9*$C$10,2)</f>
        <v>28.41</v>
      </c>
      <c r="F66" s="117">
        <v>30</v>
      </c>
      <c r="G66" s="118">
        <f>IFERROR(($F66/$E66)-1,0)</f>
        <v>0.05596620908130934</v>
      </c>
      <c r="H66" s="118">
        <f>IFERROR(($F66/$D66)-1,0)</f>
        <v>0.19999999999999996</v>
      </c>
      <c r="I66" s="114">
        <v>100</v>
      </c>
      <c r="J66" s="114">
        <v>10</v>
      </c>
      <c r="K66" s="114">
        <v>5</v>
      </c>
      <c r="L66" s="119">
        <f>IFERROR((($E66*$I66)+($E66*$J66*0.8)+($E66*$K66*0.9)),0)</f>
        <v>3196.125</v>
      </c>
      <c r="M66" s="119">
        <f>IFERROR((($F66*$I66)+($F66*$J66*0.8)+($F66*$K66*0.9)),0)</f>
        <v>3375</v>
      </c>
      <c r="N66" s="119">
        <f>IFERROR($M66-$L66,0)</f>
        <v>178.875</v>
      </c>
    </row>
    <row r="67" spans="1:14" s="69" customFormat="1" ht="15">
      <c r="A67" s="112"/>
      <c r="B67" s="113"/>
      <c r="C67" s="116"/>
      <c r="D67" s="117"/>
      <c r="E67" s="117">
        <f>ROUND($D67*$C$9*$C$10,2)</f>
        <v>0</v>
      </c>
      <c r="F67" s="117"/>
      <c r="G67" s="118">
        <f>IFERROR(($F67/$E67)-1,0)</f>
        <v>0</v>
      </c>
      <c r="H67" s="118">
        <f t="shared" si="26" ref="H67:H70">IFERROR(($F67/$D67)-1,0)</f>
        <v>0</v>
      </c>
      <c r="I67" s="114"/>
      <c r="J67" s="114"/>
      <c r="K67" s="114"/>
      <c r="L67" s="119">
        <f t="shared" si="27" ref="L67:L70">IFERROR((($E67*$I67)+($E67*$J67*0.8)+($E67*$K67*0.9)),0)</f>
        <v>0</v>
      </c>
      <c r="M67" s="119">
        <f t="shared" si="28" ref="M67:M70">IFERROR((($F67*$I67)+($F67*$J67*0.8)+($F67*$K67*0.9)),0)</f>
        <v>0</v>
      </c>
      <c r="N67" s="119">
        <f>IFERROR($M67-$L67,0)</f>
        <v>0</v>
      </c>
    </row>
    <row r="68" spans="1:14" s="69" customFormat="1" ht="15">
      <c r="A68" s="112"/>
      <c r="B68" s="113"/>
      <c r="C68" s="116"/>
      <c r="D68" s="117"/>
      <c r="E68" s="117">
        <f>ROUND($D68*$C$9*$C$10,2)</f>
        <v>0</v>
      </c>
      <c r="F68" s="117"/>
      <c r="G68" s="118">
        <f t="shared" si="29" ref="G68:G70">IFERROR(($F68/$E68)-1,0)</f>
        <v>0</v>
      </c>
      <c r="H68" s="118">
        <f>IFERROR(($F68/$D68)-1,0)</f>
        <v>0</v>
      </c>
      <c r="I68" s="114"/>
      <c r="J68" s="114"/>
      <c r="K68" s="114"/>
      <c r="L68" s="119">
        <f>IFERROR((($E68*$I68)+($E68*$J68*0.8)+($E68*$K68*0.9)),0)</f>
        <v>0</v>
      </c>
      <c r="M68" s="119">
        <f>IFERROR((($F68*$I68)+($F68*$J68*0.8)+($F68*$K68*0.9)),0)</f>
        <v>0</v>
      </c>
      <c r="N68" s="119">
        <f>IFERROR($M68-$L68,0)</f>
        <v>0</v>
      </c>
    </row>
    <row r="69" spans="1:14" s="69" customFormat="1" ht="15">
      <c r="A69" s="112"/>
      <c r="B69" s="113"/>
      <c r="C69" s="116"/>
      <c r="D69" s="117"/>
      <c r="E69" s="117">
        <f>ROUND($D69*$C$9*$C$10,2)</f>
        <v>0</v>
      </c>
      <c r="F69" s="117"/>
      <c r="G69" s="118">
        <f>IFERROR(($F69/$E69)-1,0)</f>
        <v>0</v>
      </c>
      <c r="H69" s="118">
        <f>IFERROR(($F69/$D69)-1,0)</f>
        <v>0</v>
      </c>
      <c r="I69" s="114"/>
      <c r="J69" s="114"/>
      <c r="K69" s="114"/>
      <c r="L69" s="119">
        <f>IFERROR((($E69*$I69)+($E69*$J69*0.8)+($E69*$K69*0.9)),0)</f>
        <v>0</v>
      </c>
      <c r="M69" s="119">
        <f>IFERROR((($F69*$I69)+($F69*$J69*0.8)+($F69*$K69*0.9)),0)</f>
        <v>0</v>
      </c>
      <c r="N69" s="119">
        <f>IFERROR($M69-$L69,0)</f>
        <v>0</v>
      </c>
    </row>
    <row r="70" spans="1:14" s="69" customFormat="1" ht="15">
      <c r="A70" s="112"/>
      <c r="B70" s="113"/>
      <c r="C70" s="116"/>
      <c r="D70" s="117"/>
      <c r="E70" s="117">
        <f>ROUND($D70*$C$9*$C$10,2)</f>
        <v>0</v>
      </c>
      <c r="F70" s="117"/>
      <c r="G70" s="118">
        <f>IFERROR(($F70/$E70)-1,0)</f>
        <v>0</v>
      </c>
      <c r="H70" s="118">
        <f>IFERROR(($F70/$D70)-1,0)</f>
        <v>0</v>
      </c>
      <c r="I70" s="114"/>
      <c r="J70" s="114"/>
      <c r="K70" s="114"/>
      <c r="L70" s="119">
        <f>IFERROR((($E70*$I70)+($E70*$J70*0.8)+($E70*$K70*0.9)),0)</f>
        <v>0</v>
      </c>
      <c r="M70" s="119">
        <f>IFERROR((($F70*$I70)+($F70*$J70*0.8)+($F70*$K70*0.9)),0)</f>
        <v>0</v>
      </c>
      <c r="N70" s="119">
        <f>IFERROR($M70-$L70,0)</f>
        <v>0</v>
      </c>
    </row>
    <row r="71" spans="1:14" s="69" customFormat="1" ht="15">
      <c r="A71" s="112"/>
      <c r="B71" s="20" t="s">
        <v>50</v>
      </c>
      <c r="C71" s="20" t="s">
        <v>51</v>
      </c>
      <c r="D71" s="117"/>
      <c r="E71" s="117"/>
      <c r="F71" s="117"/>
      <c r="G71" s="118"/>
      <c r="H71" s="118"/>
      <c r="I71" s="114"/>
      <c r="J71" s="114"/>
      <c r="K71" s="114"/>
      <c r="L71" s="115"/>
      <c r="M71" s="115"/>
      <c r="N71" s="115"/>
    </row>
    <row r="72" spans="1:14" s="69" customFormat="1" ht="15">
      <c r="A72" s="112" t="s">
        <v>58</v>
      </c>
      <c r="B72" s="113" t="s">
        <v>65</v>
      </c>
      <c r="C72" s="116" t="s">
        <v>51</v>
      </c>
      <c r="D72" s="117">
        <v>30</v>
      </c>
      <c r="E72" s="117">
        <f>ROUND($D72*$C$9*$C$10,2)</f>
        <v>34.09</v>
      </c>
      <c r="F72" s="117">
        <v>35</v>
      </c>
      <c r="G72" s="118">
        <f>IFERROR(($F72/$E72)-1,0)</f>
        <v>0.026694045174537884</v>
      </c>
      <c r="H72" s="118">
        <f>IFERROR(($F72/$D72)-1,0)</f>
        <v>0.16666666666666674</v>
      </c>
      <c r="I72" s="114">
        <v>100</v>
      </c>
      <c r="J72" s="114">
        <v>10</v>
      </c>
      <c r="K72" s="114">
        <v>5</v>
      </c>
      <c r="L72" s="119">
        <f>IFERROR((($E72*$I72)+($E72*$J72*0.8)+($E72*$K72*0.9)),0)</f>
        <v>3835.1250000000005</v>
      </c>
      <c r="M72" s="119">
        <f>IFERROR((($F72*$I72)+($F72*$J72*0.8)+($F72*$K72*0.9)),0)</f>
        <v>3937.50</v>
      </c>
      <c r="N72" s="119">
        <f>IFERROR($M72-$L72,0)</f>
        <v>102.37499999999955</v>
      </c>
    </row>
    <row r="73" spans="1:14" s="69" customFormat="1" ht="15">
      <c r="A73" s="112"/>
      <c r="B73" s="113"/>
      <c r="C73" s="116"/>
      <c r="D73" s="117"/>
      <c r="E73" s="117">
        <f>ROUND($D73*$C$9*$C$10,2)</f>
        <v>0</v>
      </c>
      <c r="F73" s="117"/>
      <c r="G73" s="118">
        <f>IFERROR(($F73/$E73)-1,0)</f>
        <v>0</v>
      </c>
      <c r="H73" s="118">
        <f t="shared" si="30" ref="H73:H76">IFERROR(($F73/$D73)-1,0)</f>
        <v>0</v>
      </c>
      <c r="I73" s="114"/>
      <c r="J73" s="114"/>
      <c r="K73" s="114"/>
      <c r="L73" s="119">
        <f t="shared" si="31" ref="L73:L76">IFERROR((($E73*$I73)+($E73*$J73*0.8)+($E73*$K73*0.9)),0)</f>
        <v>0</v>
      </c>
      <c r="M73" s="119">
        <f t="shared" si="32" ref="M73:M76">IFERROR((($F73*$I73)+($F73*$J73*0.8)+($F73*$K73*0.9)),0)</f>
        <v>0</v>
      </c>
      <c r="N73" s="119">
        <f>IFERROR($M73-$L73,0)</f>
        <v>0</v>
      </c>
    </row>
    <row r="74" spans="1:14" s="69" customFormat="1" ht="15">
      <c r="A74" s="112"/>
      <c r="B74" s="113"/>
      <c r="C74" s="116"/>
      <c r="D74" s="117"/>
      <c r="E74" s="117">
        <f>ROUND($D74*$C$9*$C$10,2)</f>
        <v>0</v>
      </c>
      <c r="F74" s="117"/>
      <c r="G74" s="118">
        <f t="shared" si="33" ref="G74:G76">IFERROR(($F74/$E74)-1,0)</f>
        <v>0</v>
      </c>
      <c r="H74" s="118">
        <f>IFERROR(($F74/$D74)-1,0)</f>
        <v>0</v>
      </c>
      <c r="I74" s="114"/>
      <c r="J74" s="114"/>
      <c r="K74" s="114"/>
      <c r="L74" s="119">
        <f>IFERROR((($E74*$I74)+($E74*$J74*0.8)+($E74*$K74*0.9)),0)</f>
        <v>0</v>
      </c>
      <c r="M74" s="119">
        <f>IFERROR((($F74*$I74)+($F74*$J74*0.8)+($F74*$K74*0.9)),0)</f>
        <v>0</v>
      </c>
      <c r="N74" s="119">
        <f>IFERROR($M74-$L74,0)</f>
        <v>0</v>
      </c>
    </row>
    <row r="75" spans="1:14" s="69" customFormat="1" ht="15">
      <c r="A75" s="112"/>
      <c r="B75" s="113"/>
      <c r="C75" s="116"/>
      <c r="D75" s="117"/>
      <c r="E75" s="117">
        <f>ROUND($D75*$C$9*$C$10,2)</f>
        <v>0</v>
      </c>
      <c r="F75" s="117"/>
      <c r="G75" s="118">
        <f>IFERROR(($F75/$E75)-1,0)</f>
        <v>0</v>
      </c>
      <c r="H75" s="118">
        <f>IFERROR(($F75/$D75)-1,0)</f>
        <v>0</v>
      </c>
      <c r="I75" s="114"/>
      <c r="J75" s="114"/>
      <c r="K75" s="114"/>
      <c r="L75" s="119">
        <f>IFERROR((($E75*$I75)+($E75*$J75*0.8)+($E75*$K75*0.9)),0)</f>
        <v>0</v>
      </c>
      <c r="M75" s="119">
        <f>IFERROR((($F75*$I75)+($F75*$J75*0.8)+($F75*$K75*0.9)),0)</f>
        <v>0</v>
      </c>
      <c r="N75" s="119">
        <f>IFERROR($M75-$L75,0)</f>
        <v>0</v>
      </c>
    </row>
    <row r="76" spans="1:14" s="69" customFormat="1" ht="15">
      <c r="A76" s="112"/>
      <c r="B76" s="113"/>
      <c r="C76" s="116"/>
      <c r="D76" s="117"/>
      <c r="E76" s="117">
        <f>ROUND($D76*$C$9*$C$10,2)</f>
        <v>0</v>
      </c>
      <c r="F76" s="117"/>
      <c r="G76" s="118">
        <f>IFERROR(($F76/$E76)-1,0)</f>
        <v>0</v>
      </c>
      <c r="H76" s="118">
        <f>IFERROR(($F76/$D76)-1,0)</f>
        <v>0</v>
      </c>
      <c r="I76" s="114"/>
      <c r="J76" s="114"/>
      <c r="K76" s="114"/>
      <c r="L76" s="119">
        <f>IFERROR((($E76*$I76)+($E76*$J76*0.8)+($E76*$K76*0.9)),0)</f>
        <v>0</v>
      </c>
      <c r="M76" s="119">
        <f>IFERROR((($F76*$I76)+($F76*$J76*0.8)+($F76*$K76*0.9)),0)</f>
        <v>0</v>
      </c>
      <c r="N76" s="119">
        <f>IFERROR($M76-$L76,0)</f>
        <v>0</v>
      </c>
    </row>
    <row r="77" spans="1:14" s="69" customFormat="1" ht="15">
      <c r="A77" s="112"/>
      <c r="B77" s="20" t="s">
        <v>53</v>
      </c>
      <c r="C77" s="20" t="s">
        <v>54</v>
      </c>
      <c r="D77" s="117"/>
      <c r="E77" s="117"/>
      <c r="F77" s="117"/>
      <c r="G77" s="118"/>
      <c r="H77" s="118"/>
      <c r="I77" s="114"/>
      <c r="J77" s="114"/>
      <c r="K77" s="114"/>
      <c r="L77" s="115"/>
      <c r="M77" s="115"/>
      <c r="N77" s="115"/>
    </row>
    <row r="78" spans="1:14" s="69" customFormat="1" ht="15">
      <c r="A78" s="112" t="s">
        <v>58</v>
      </c>
      <c r="B78" s="113" t="s">
        <v>66</v>
      </c>
      <c r="C78" s="116" t="s">
        <v>54</v>
      </c>
      <c r="D78" s="117">
        <v>35</v>
      </c>
      <c r="E78" s="117">
        <f>ROUND($D78*$C$9*$C$10,2)</f>
        <v>39.77</v>
      </c>
      <c r="F78" s="117">
        <v>40</v>
      </c>
      <c r="G78" s="118">
        <f>IFERROR(($F78/$E78)-1,0)</f>
        <v>0.0057832537088255975</v>
      </c>
      <c r="H78" s="118">
        <f>IFERROR(($F78/$D78)-1,0)</f>
        <v>0.1428571428571428</v>
      </c>
      <c r="I78" s="114">
        <v>100</v>
      </c>
      <c r="J78" s="114">
        <v>10</v>
      </c>
      <c r="K78" s="114">
        <v>5</v>
      </c>
      <c r="L78" s="119">
        <f>IFERROR((($E78*$I78)+($E78*$J78*0.8)+($E78*$K78*0.9)),0)</f>
        <v>4474.125000000001</v>
      </c>
      <c r="M78" s="119">
        <f>IFERROR((($F78*$I78)+($F78*$J78*0.8)+($F78*$K78*0.9)),0)</f>
        <v>4500</v>
      </c>
      <c r="N78" s="119">
        <f>IFERROR($M78-$L78,0)</f>
        <v>25.87499999999909</v>
      </c>
    </row>
    <row r="79" spans="1:14" s="69" customFormat="1" ht="15">
      <c r="A79" s="112"/>
      <c r="B79" s="113"/>
      <c r="C79" s="116"/>
      <c r="D79" s="117"/>
      <c r="E79" s="117">
        <f>ROUND($D79*$C$9*$C$10,2)</f>
        <v>0</v>
      </c>
      <c r="F79" s="117"/>
      <c r="G79" s="118">
        <f>IFERROR(($F79/$E79)-1,0)</f>
        <v>0</v>
      </c>
      <c r="H79" s="118">
        <f t="shared" si="34" ref="H79:H82">IFERROR(($F79/$D79)-1,0)</f>
        <v>0</v>
      </c>
      <c r="I79" s="114"/>
      <c r="J79" s="114"/>
      <c r="K79" s="114"/>
      <c r="L79" s="119">
        <f t="shared" si="35" ref="L79:L82">IFERROR((($E79*$I79)+($E79*$J79*0.8)+($E79*$K79*0.9)),0)</f>
        <v>0</v>
      </c>
      <c r="M79" s="119">
        <f t="shared" si="36" ref="M79:M82">IFERROR((($F79*$I79)+($F79*$J79*0.8)+($F79*$K79*0.9)),0)</f>
        <v>0</v>
      </c>
      <c r="N79" s="119">
        <f>IFERROR($M79-$L79,0)</f>
        <v>0</v>
      </c>
    </row>
    <row r="80" spans="1:14" s="69" customFormat="1" ht="15">
      <c r="A80" s="112"/>
      <c r="B80" s="113"/>
      <c r="C80" s="116"/>
      <c r="D80" s="117"/>
      <c r="E80" s="117">
        <f>ROUND($D80*$C$9*$C$10,2)</f>
        <v>0</v>
      </c>
      <c r="F80" s="117"/>
      <c r="G80" s="118">
        <f t="shared" si="37" ref="G80:G82">IFERROR(($F80/$E80)-1,0)</f>
        <v>0</v>
      </c>
      <c r="H80" s="118">
        <f>IFERROR(($F80/$D80)-1,0)</f>
        <v>0</v>
      </c>
      <c r="I80" s="114"/>
      <c r="J80" s="114"/>
      <c r="K80" s="114"/>
      <c r="L80" s="119">
        <f>IFERROR((($E80*$I80)+($E80*$J80*0.8)+($E80*$K80*0.9)),0)</f>
        <v>0</v>
      </c>
      <c r="M80" s="119">
        <f>IFERROR((($F80*$I80)+($F80*$J80*0.8)+($F80*$K80*0.9)),0)</f>
        <v>0</v>
      </c>
      <c r="N80" s="119">
        <f>IFERROR($M80-$L80,0)</f>
        <v>0</v>
      </c>
    </row>
    <row r="81" spans="1:14" s="69" customFormat="1" ht="15">
      <c r="A81" s="112"/>
      <c r="B81" s="113"/>
      <c r="C81" s="116"/>
      <c r="D81" s="117"/>
      <c r="E81" s="117">
        <f>ROUND($D81*$C$9*$C$10,2)</f>
        <v>0</v>
      </c>
      <c r="F81" s="117"/>
      <c r="G81" s="118">
        <f>IFERROR(($F81/$E81)-1,0)</f>
        <v>0</v>
      </c>
      <c r="H81" s="118">
        <f>IFERROR(($F81/$D81)-1,0)</f>
        <v>0</v>
      </c>
      <c r="I81" s="114"/>
      <c r="J81" s="114"/>
      <c r="K81" s="114"/>
      <c r="L81" s="119">
        <f>IFERROR((($E81*$I81)+($E81*$J81*0.8)+($E81*$K81*0.9)),0)</f>
        <v>0</v>
      </c>
      <c r="M81" s="119">
        <f>IFERROR((($F81*$I81)+($F81*$J81*0.8)+($F81*$K81*0.9)),0)</f>
        <v>0</v>
      </c>
      <c r="N81" s="119">
        <f>IFERROR($M81-$L81,0)</f>
        <v>0</v>
      </c>
    </row>
    <row r="82" spans="1:14" s="69" customFormat="1" ht="15">
      <c r="A82" s="112"/>
      <c r="B82" s="113"/>
      <c r="C82" s="116"/>
      <c r="D82" s="117"/>
      <c r="E82" s="117">
        <f>ROUND($D82*$C$9*$C$10,2)</f>
        <v>0</v>
      </c>
      <c r="F82" s="117"/>
      <c r="G82" s="118">
        <f>IFERROR(($F82/$E82)-1,0)</f>
        <v>0</v>
      </c>
      <c r="H82" s="118">
        <f>IFERROR(($F82/$D82)-1,0)</f>
        <v>0</v>
      </c>
      <c r="I82" s="114"/>
      <c r="J82" s="114"/>
      <c r="K82" s="114"/>
      <c r="L82" s="119">
        <f>IFERROR((($E82*$I82)+($E82*$J82*0.8)+($E82*$K82*0.9)),0)</f>
        <v>0</v>
      </c>
      <c r="M82" s="119">
        <f>IFERROR((($F82*$I82)+($F82*$J82*0.8)+($F82*$K82*0.9)),0)</f>
        <v>0</v>
      </c>
      <c r="N82" s="119">
        <f>IFERROR($M82-$L82,0)</f>
        <v>0</v>
      </c>
    </row>
    <row r="83" spans="1:14" s="69" customFormat="1" ht="15">
      <c r="A83" s="112"/>
      <c r="B83" s="20" t="s">
        <v>55</v>
      </c>
      <c r="C83" s="20" t="s">
        <v>56</v>
      </c>
      <c r="D83" s="117"/>
      <c r="E83" s="117"/>
      <c r="F83" s="117"/>
      <c r="G83" s="118"/>
      <c r="H83" s="118"/>
      <c r="I83" s="114"/>
      <c r="J83" s="114"/>
      <c r="K83" s="114"/>
      <c r="L83" s="115"/>
      <c r="M83" s="115"/>
      <c r="N83" s="115"/>
    </row>
    <row r="84" spans="1:14" s="69" customFormat="1" ht="15">
      <c r="A84" s="112" t="s">
        <v>58</v>
      </c>
      <c r="B84" s="113" t="s">
        <v>67</v>
      </c>
      <c r="C84" s="116" t="s">
        <v>56</v>
      </c>
      <c r="D84" s="117">
        <v>40</v>
      </c>
      <c r="E84" s="117">
        <f>ROUND($D84*$C$9*$C$10,2)</f>
        <v>45.45</v>
      </c>
      <c r="F84" s="117">
        <v>45</v>
      </c>
      <c r="G84" s="118">
        <f>IFERROR(($F84/$E84)-1,0)</f>
        <v>-0.00990099009900991</v>
      </c>
      <c r="H84" s="118">
        <f>IFERROR(($F84/$D84)-1,0)</f>
        <v>0.125</v>
      </c>
      <c r="I84" s="114">
        <v>100</v>
      </c>
      <c r="J84" s="114">
        <v>10</v>
      </c>
      <c r="K84" s="114">
        <v>5</v>
      </c>
      <c r="L84" s="119">
        <f>IFERROR((($E84*$I84)+($E84*$J84*0.8)+($E84*$K84*0.9)),0)</f>
        <v>5113.125</v>
      </c>
      <c r="M84" s="119">
        <f>IFERROR((($F84*$I84)+($F84*$J84*0.8)+($F84*$K84*0.9)),0)</f>
        <v>5062.50</v>
      </c>
      <c r="N84" s="119">
        <f>IFERROR($M84-$L84,0)</f>
        <v>-50.625</v>
      </c>
    </row>
    <row r="85" spans="1:14" s="69" customFormat="1" ht="15">
      <c r="A85" s="112"/>
      <c r="B85" s="113"/>
      <c r="C85" s="116"/>
      <c r="D85" s="117"/>
      <c r="E85" s="117">
        <f>ROUND($D85*$C$9*$C$10,2)</f>
        <v>0</v>
      </c>
      <c r="F85" s="117"/>
      <c r="G85" s="118">
        <f>IFERROR(($F85/$E85)-1,0)</f>
        <v>0</v>
      </c>
      <c r="H85" s="118">
        <f t="shared" si="38" ref="H85:H88">IFERROR(($F85/$D85)-1,0)</f>
        <v>0</v>
      </c>
      <c r="I85" s="114"/>
      <c r="J85" s="114"/>
      <c r="K85" s="114"/>
      <c r="L85" s="119">
        <f t="shared" si="39" ref="L85:L88">IFERROR((($E85*$I85)+($E85*$J85*0.8)+($E85*$K85*0.9)),0)</f>
        <v>0</v>
      </c>
      <c r="M85" s="119">
        <f t="shared" si="40" ref="M85:M88">IFERROR((($F85*$I85)+($F85*$J85*0.8)+($F85*$K85*0.9)),0)</f>
        <v>0</v>
      </c>
      <c r="N85" s="119">
        <f>IFERROR($M85-$L85,0)</f>
        <v>0</v>
      </c>
    </row>
    <row r="86" spans="1:14" s="69" customFormat="1" ht="15">
      <c r="A86" s="112"/>
      <c r="B86" s="113"/>
      <c r="C86" s="116"/>
      <c r="D86" s="117"/>
      <c r="E86" s="117">
        <f>ROUND($D86*$C$9*$C$10,2)</f>
        <v>0</v>
      </c>
      <c r="F86" s="117"/>
      <c r="G86" s="118">
        <f t="shared" si="41" ref="G86:G88">IFERROR(($F86/$E86)-1,0)</f>
        <v>0</v>
      </c>
      <c r="H86" s="118">
        <f>IFERROR(($F86/$D86)-1,0)</f>
        <v>0</v>
      </c>
      <c r="I86" s="114"/>
      <c r="J86" s="114"/>
      <c r="K86" s="114"/>
      <c r="L86" s="119">
        <f>IFERROR((($E86*$I86)+($E86*$J86*0.8)+($E86*$K86*0.9)),0)</f>
        <v>0</v>
      </c>
      <c r="M86" s="119">
        <f>IFERROR((($F86*$I86)+($F86*$J86*0.8)+($F86*$K86*0.9)),0)</f>
        <v>0</v>
      </c>
      <c r="N86" s="119">
        <f>IFERROR($M86-$L86,0)</f>
        <v>0</v>
      </c>
    </row>
    <row r="87" spans="1:14" s="69" customFormat="1" ht="15">
      <c r="A87" s="112"/>
      <c r="B87" s="113"/>
      <c r="C87" s="116"/>
      <c r="D87" s="117"/>
      <c r="E87" s="117">
        <f>ROUND($D87*$C$9*$C$10,2)</f>
        <v>0</v>
      </c>
      <c r="F87" s="117"/>
      <c r="G87" s="118">
        <f>IFERROR(($F87/$E87)-1,0)</f>
        <v>0</v>
      </c>
      <c r="H87" s="118">
        <f>IFERROR(($F87/$D87)-1,0)</f>
        <v>0</v>
      </c>
      <c r="I87" s="114"/>
      <c r="J87" s="114"/>
      <c r="K87" s="114"/>
      <c r="L87" s="119">
        <f>IFERROR((($E87*$I87)+($E87*$J87*0.8)+($E87*$K87*0.9)),0)</f>
        <v>0</v>
      </c>
      <c r="M87" s="119">
        <f>IFERROR((($F87*$I87)+($F87*$J87*0.8)+($F87*$K87*0.9)),0)</f>
        <v>0</v>
      </c>
      <c r="N87" s="119">
        <f>IFERROR($M87-$L87,0)</f>
        <v>0</v>
      </c>
    </row>
    <row r="88" spans="1:14" s="69" customFormat="1" ht="15">
      <c r="A88" s="112"/>
      <c r="B88" s="113"/>
      <c r="C88" s="116"/>
      <c r="D88" s="117"/>
      <c r="E88" s="117">
        <f>ROUND($D88*$C$9*$C$10,2)</f>
        <v>0</v>
      </c>
      <c r="F88" s="117"/>
      <c r="G88" s="118">
        <f>IFERROR(($F88/$E88)-1,0)</f>
        <v>0</v>
      </c>
      <c r="H88" s="118">
        <f>IFERROR(($F88/$D88)-1,0)</f>
        <v>0</v>
      </c>
      <c r="I88" s="114"/>
      <c r="J88" s="114"/>
      <c r="K88" s="114"/>
      <c r="L88" s="119">
        <f>IFERROR((($E88*$I88)+($E88*$J88*0.8)+($E88*$K88*0.9)),0)</f>
        <v>0</v>
      </c>
      <c r="M88" s="119">
        <f>IFERROR((($F88*$I88)+($F88*$J88*0.8)+($F88*$K88*0.9)),0)</f>
        <v>0</v>
      </c>
      <c r="N88" s="119">
        <f>IFERROR($M88-$L88,0)</f>
        <v>0</v>
      </c>
    </row>
    <row r="89" spans="1:14" s="69" customFormat="1" ht="30">
      <c r="A89" s="112"/>
      <c r="B89" s="20" t="s">
        <v>70</v>
      </c>
      <c r="C89" s="20" t="s">
        <v>72</v>
      </c>
      <c r="D89" s="117"/>
      <c r="E89" s="117"/>
      <c r="F89" s="117"/>
      <c r="G89" s="118"/>
      <c r="H89" s="118"/>
      <c r="I89" s="114"/>
      <c r="J89" s="114"/>
      <c r="K89" s="114"/>
      <c r="L89" s="115"/>
      <c r="M89" s="115"/>
      <c r="N89" s="115"/>
    </row>
    <row r="90" spans="1:14" s="69" customFormat="1" ht="15">
      <c r="A90" s="112" t="s">
        <v>58</v>
      </c>
      <c r="B90" s="113" t="s">
        <v>71</v>
      </c>
      <c r="C90" s="116" t="s">
        <v>72</v>
      </c>
      <c r="D90" s="117">
        <v>50</v>
      </c>
      <c r="E90" s="117">
        <f>ROUND($D90*$C$9*$C$10,2)</f>
        <v>56.82</v>
      </c>
      <c r="F90" s="117">
        <v>55</v>
      </c>
      <c r="G90" s="118">
        <f>IFERROR(($F90/$E90)-1,0)</f>
        <v>-0.0320309750087997</v>
      </c>
      <c r="H90" s="118">
        <f>IFERROR(($F90/$D90)-1,0)</f>
        <v>0.10000000000000009</v>
      </c>
      <c r="I90" s="114">
        <v>100</v>
      </c>
      <c r="J90" s="114">
        <v>10</v>
      </c>
      <c r="K90" s="114">
        <v>5</v>
      </c>
      <c r="L90" s="119">
        <f>IFERROR((($E90*$I90)+($E90*$J90*0.8)+($E90*$K90*0.9)),0)</f>
        <v>6392.25</v>
      </c>
      <c r="M90" s="119">
        <f>IFERROR((($F90*$I90)+($F90*$J90*0.8)+($F90*$K90*0.9)),0)</f>
        <v>6187.50</v>
      </c>
      <c r="N90" s="119">
        <f>IFERROR($M90-$L90,0)</f>
        <v>-204.75</v>
      </c>
    </row>
    <row r="91" spans="1:14" s="69" customFormat="1" ht="15">
      <c r="A91" s="112"/>
      <c r="B91" s="113"/>
      <c r="C91" s="116"/>
      <c r="D91" s="117"/>
      <c r="E91" s="117">
        <f>ROUND($D91*$C$9*$C$10,2)</f>
        <v>0</v>
      </c>
      <c r="F91" s="117"/>
      <c r="G91" s="118">
        <f>IFERROR(($F91/$E91)-1,0)</f>
        <v>0</v>
      </c>
      <c r="H91" s="118">
        <f t="shared" si="42" ref="H91:H94">IFERROR(($F91/$D91)-1,0)</f>
        <v>0</v>
      </c>
      <c r="I91" s="114"/>
      <c r="J91" s="114"/>
      <c r="K91" s="114"/>
      <c r="L91" s="119">
        <f t="shared" si="43" ref="L91:L94">IFERROR((($E91*$I91)+($E91*$J91*0.8)+($E91*$K91*0.9)),0)</f>
        <v>0</v>
      </c>
      <c r="M91" s="119">
        <f t="shared" si="44" ref="M91:M94">IFERROR((($F91*$I91)+($F91*$J91*0.8)+($F91*$K91*0.9)),0)</f>
        <v>0</v>
      </c>
      <c r="N91" s="119">
        <f>IFERROR($M91-$L91,0)</f>
        <v>0</v>
      </c>
    </row>
    <row r="92" spans="1:14" s="69" customFormat="1" ht="15">
      <c r="A92" s="112"/>
      <c r="B92" s="113"/>
      <c r="C92" s="116"/>
      <c r="D92" s="117"/>
      <c r="E92" s="117">
        <f>ROUND($D92*$C$9*$C$10,2)</f>
        <v>0</v>
      </c>
      <c r="F92" s="117"/>
      <c r="G92" s="118">
        <f t="shared" si="45" ref="G92:G94">IFERROR(($F92/$E92)-1,0)</f>
        <v>0</v>
      </c>
      <c r="H92" s="118">
        <f>IFERROR(($F92/$D92)-1,0)</f>
        <v>0</v>
      </c>
      <c r="I92" s="114"/>
      <c r="J92" s="114"/>
      <c r="K92" s="114"/>
      <c r="L92" s="119">
        <f>IFERROR((($E92*$I92)+($E92*$J92*0.8)+($E92*$K92*0.9)),0)</f>
        <v>0</v>
      </c>
      <c r="M92" s="119">
        <f>IFERROR((($F92*$I92)+($F92*$J92*0.8)+($F92*$K92*0.9)),0)</f>
        <v>0</v>
      </c>
      <c r="N92" s="119">
        <f>IFERROR($M92-$L92,0)</f>
        <v>0</v>
      </c>
    </row>
    <row r="93" spans="1:14" s="69" customFormat="1" ht="15">
      <c r="A93" s="112"/>
      <c r="B93" s="113"/>
      <c r="C93" s="116"/>
      <c r="D93" s="117"/>
      <c r="E93" s="117">
        <f>ROUND($D93*$C$9*$C$10,2)</f>
        <v>0</v>
      </c>
      <c r="F93" s="117"/>
      <c r="G93" s="118">
        <f>IFERROR(($F93/$E93)-1,0)</f>
        <v>0</v>
      </c>
      <c r="H93" s="118">
        <f>IFERROR(($F93/$D93)-1,0)</f>
        <v>0</v>
      </c>
      <c r="I93" s="114"/>
      <c r="J93" s="114"/>
      <c r="K93" s="114"/>
      <c r="L93" s="119">
        <f>IFERROR((($E93*$I93)+($E93*$J93*0.8)+($E93*$K93*0.9)),0)</f>
        <v>0</v>
      </c>
      <c r="M93" s="119">
        <f>IFERROR((($F93*$I93)+($F93*$J93*0.8)+($F93*$K93*0.9)),0)</f>
        <v>0</v>
      </c>
      <c r="N93" s="119">
        <f>IFERROR($M93-$L93,0)</f>
        <v>0</v>
      </c>
    </row>
    <row r="94" spans="1:14" s="69" customFormat="1" ht="15">
      <c r="A94" s="112"/>
      <c r="B94" s="113"/>
      <c r="C94" s="116"/>
      <c r="D94" s="117"/>
      <c r="E94" s="117">
        <f>ROUND($D94*$C$9*$C$10,2)</f>
        <v>0</v>
      </c>
      <c r="F94" s="117"/>
      <c r="G94" s="118">
        <f>IFERROR(($F94/$E94)-1,0)</f>
        <v>0</v>
      </c>
      <c r="H94" s="118">
        <f>IFERROR(($F94/$D94)-1,0)</f>
        <v>0</v>
      </c>
      <c r="I94" s="114"/>
      <c r="J94" s="114"/>
      <c r="K94" s="114"/>
      <c r="L94" s="119">
        <f>IFERROR((($E94*$I94)+($E94*$J94*0.8)+($E94*$K94*0.9)),0)</f>
        <v>0</v>
      </c>
      <c r="M94" s="119">
        <f>IFERROR((($F94*$I94)+($F94*$J94*0.8)+($F94*$K94*0.9)),0)</f>
        <v>0</v>
      </c>
      <c r="N94" s="119">
        <f>IFERROR($M94-$L94,0)</f>
        <v>0</v>
      </c>
    </row>
    <row r="95" spans="1:16" s="92" customFormat="1" ht="15">
      <c r="A95" s="120"/>
      <c r="B95" s="121"/>
      <c r="C95" s="122"/>
      <c r="D95" s="94"/>
      <c r="E95" s="123"/>
      <c r="F95" s="123"/>
      <c r="G95" s="124"/>
      <c r="H95" s="124"/>
      <c r="I95" s="125"/>
      <c r="J95" s="125"/>
      <c r="K95" s="125"/>
      <c r="L95" s="126"/>
      <c r="M95" s="123"/>
      <c r="N95" s="123"/>
      <c r="O95" s="123"/>
      <c r="P95" s="123"/>
    </row>
    <row r="96" spans="1:16" s="92" customFormat="1" ht="15">
      <c r="A96" s="120"/>
      <c r="B96" s="121"/>
      <c r="C96" s="122"/>
      <c r="D96" s="94"/>
      <c r="E96" s="123"/>
      <c r="F96" s="123"/>
      <c r="G96" s="124"/>
      <c r="H96" s="124"/>
      <c r="I96" s="125"/>
      <c r="J96" s="125"/>
      <c r="K96" s="125"/>
      <c r="L96" s="126"/>
      <c r="M96" s="123"/>
      <c r="N96" s="123"/>
      <c r="O96" s="123"/>
      <c r="P96" s="123"/>
    </row>
    <row r="97" spans="1:16" s="92" customFormat="1" ht="15">
      <c r="A97" s="120"/>
      <c r="B97" s="121"/>
      <c r="C97" s="122"/>
      <c r="D97" s="94"/>
      <c r="E97" s="123"/>
      <c r="F97" s="123"/>
      <c r="G97" s="124"/>
      <c r="H97" s="124"/>
      <c r="I97" s="125"/>
      <c r="J97" s="125"/>
      <c r="K97" s="125"/>
      <c r="L97" s="126"/>
      <c r="M97" s="123"/>
      <c r="N97" s="123"/>
      <c r="O97" s="123"/>
      <c r="P97" s="123"/>
    </row>
    <row r="98" spans="1:16" ht="15.75" thickBot="1">
      <c r="A98" s="127"/>
      <c r="B98" s="32"/>
      <c r="C98" s="98"/>
      <c r="D98" s="31"/>
      <c r="I98" s="34"/>
      <c r="L98" s="35"/>
      <c r="M98" s="91"/>
      <c r="N98" s="91"/>
      <c r="O98" s="91"/>
      <c r="P98" s="91"/>
    </row>
    <row r="99" spans="1:16" ht="14.45" customHeight="1">
      <c r="A99" s="260" t="s">
        <v>26</v>
      </c>
      <c r="B99" s="261"/>
      <c r="C99" s="261"/>
      <c r="D99" s="261"/>
      <c r="E99" s="261"/>
      <c r="F99" s="261"/>
      <c r="G99" s="261"/>
      <c r="H99" s="261"/>
      <c r="I99" s="261"/>
      <c r="J99" s="261"/>
      <c r="K99" s="261"/>
      <c r="L99" s="262"/>
      <c r="M99" s="88"/>
      <c r="N99" s="88"/>
      <c r="O99" s="88"/>
      <c r="P99" s="88"/>
    </row>
    <row r="100" spans="1:16" ht="14.45" customHeight="1" thickBot="1">
      <c r="A100" s="263"/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  <c r="L100" s="265"/>
      <c r="M100" s="88"/>
      <c r="N100" s="88"/>
      <c r="O100" s="88"/>
      <c r="P100" s="88"/>
    </row>
    <row r="101" spans="1:16" s="92" customFormat="1" ht="14.45" customHeight="1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</row>
    <row r="102" spans="1:13" ht="15.75">
      <c r="A102" s="127"/>
      <c r="B102" s="32"/>
      <c r="C102" s="98"/>
      <c r="D102" s="128"/>
      <c r="E102" s="128"/>
      <c r="F102" s="128"/>
      <c r="G102" s="128"/>
      <c r="H102" s="99"/>
      <c r="I102" s="129"/>
      <c r="J102" s="259" t="s">
        <v>21</v>
      </c>
      <c r="K102" s="259"/>
      <c r="L102" s="259"/>
      <c r="M102" s="101"/>
    </row>
    <row r="103" spans="1:15" ht="92.45" customHeight="1">
      <c r="A103" s="102" t="s">
        <v>29</v>
      </c>
      <c r="B103" s="102" t="s">
        <v>23</v>
      </c>
      <c r="C103" s="103" t="s">
        <v>4</v>
      </c>
      <c r="D103" s="104" t="s">
        <v>87</v>
      </c>
      <c r="E103" s="104" t="s">
        <v>88</v>
      </c>
      <c r="F103" s="104" t="s">
        <v>89</v>
      </c>
      <c r="G103" s="104" t="s">
        <v>90</v>
      </c>
      <c r="H103" s="104" t="s">
        <v>91</v>
      </c>
      <c r="I103" s="105" t="s">
        <v>100</v>
      </c>
      <c r="J103" s="107" t="s">
        <v>95</v>
      </c>
      <c r="K103" s="107" t="s">
        <v>32</v>
      </c>
      <c r="L103" s="104" t="s">
        <v>101</v>
      </c>
      <c r="M103" s="72"/>
      <c r="N103" s="72"/>
      <c r="O103" s="72"/>
    </row>
    <row r="104" spans="1:15" ht="15">
      <c r="A104" s="130"/>
      <c r="B104" s="131"/>
      <c r="C104" s="132" t="str">
        <f>"Col "&amp;COLUMN(C104)+46</f>
        <v>Col 49</v>
      </c>
      <c r="D104" s="132" t="str">
        <f t="shared" si="46" ref="D104:L104">"Col "&amp;COLUMN(D104)+46</f>
        <v>Col 50</v>
      </c>
      <c r="E104" s="132" t="str">
        <f>"Col "&amp;COLUMN(E104)+46</f>
        <v>Col 51</v>
      </c>
      <c r="F104" s="132" t="str">
        <f>"Col "&amp;COLUMN(F104)+46</f>
        <v>Col 52</v>
      </c>
      <c r="G104" s="132" t="str">
        <f>"Col "&amp;COLUMN(G104)+46</f>
        <v>Col 53</v>
      </c>
      <c r="H104" s="132" t="str">
        <f>"Col "&amp;COLUMN(H104)+46</f>
        <v>Col 54</v>
      </c>
      <c r="I104" s="132" t="str">
        <f>"Col "&amp;COLUMN(I104)+46</f>
        <v>Col 55</v>
      </c>
      <c r="J104" s="132" t="str">
        <f>"Col "&amp;COLUMN(J104)+46</f>
        <v>Col 56</v>
      </c>
      <c r="K104" s="132" t="str">
        <f>"Col "&amp;COLUMN(K104)+46</f>
        <v>Col 57</v>
      </c>
      <c r="L104" s="132" t="str">
        <f>"Col "&amp;COLUMN(L104)+46</f>
        <v>Col 58</v>
      </c>
      <c r="M104" s="72"/>
      <c r="N104" s="72"/>
      <c r="O104" s="72"/>
    </row>
    <row r="105" spans="1:15" ht="75">
      <c r="A105" s="102" t="s">
        <v>6</v>
      </c>
      <c r="B105" s="102" t="s">
        <v>6</v>
      </c>
      <c r="C105" s="133" t="s">
        <v>6</v>
      </c>
      <c r="D105" s="104" t="s">
        <v>6</v>
      </c>
      <c r="E105" s="104" t="str">
        <f>D104&amp;" X Category Relationship Unfreeze Factor X Net Contributor or Net Recipient Factor"</f>
        <v>Col 50 X Category Relationship Unfreeze Factor X Net Contributor or Net Recipient Factor</v>
      </c>
      <c r="F105" s="104" t="s">
        <v>6</v>
      </c>
      <c r="G105" s="104" t="str">
        <f>"("&amp;F104&amp;" / "&amp;E104&amp;") - 1"</f>
        <v>(Col 52 / Col 51) - 1</v>
      </c>
      <c r="H105" s="104" t="str">
        <f>"("&amp;F104&amp;" / "&amp;D104&amp;") - 1"</f>
        <v>(Col 52 / Col 50) - 1</v>
      </c>
      <c r="I105" s="104" t="s">
        <v>6</v>
      </c>
      <c r="J105" s="134" t="str">
        <f>E104&amp;" X "&amp;I104</f>
        <v>Col 51 X Col 55</v>
      </c>
      <c r="K105" s="134" t="str">
        <f>F104&amp;" X "&amp;I104</f>
        <v>Col 52 X Col 55</v>
      </c>
      <c r="L105" s="135" t="str">
        <f>K104&amp;" - "&amp;J104</f>
        <v>Col 57 - Col 56</v>
      </c>
      <c r="M105" s="69"/>
      <c r="N105" s="69"/>
      <c r="O105" s="69"/>
    </row>
    <row r="106" spans="1:15" ht="15">
      <c r="A106" s="112"/>
      <c r="B106" s="20" t="s">
        <v>45</v>
      </c>
      <c r="C106" s="20" t="s">
        <v>39</v>
      </c>
      <c r="D106" s="136"/>
      <c r="E106" s="136"/>
      <c r="F106" s="136"/>
      <c r="G106" s="136"/>
      <c r="H106" s="136"/>
      <c r="I106" s="137"/>
      <c r="J106" s="138"/>
      <c r="K106" s="138"/>
      <c r="L106" s="138"/>
      <c r="M106" s="71"/>
      <c r="N106" s="71"/>
      <c r="O106" s="71"/>
    </row>
    <row r="107" spans="1:12" s="92" customFormat="1" ht="15">
      <c r="A107" s="112" t="s">
        <v>58</v>
      </c>
      <c r="B107" s="113" t="s">
        <v>59</v>
      </c>
      <c r="C107" s="116" t="s">
        <v>39</v>
      </c>
      <c r="D107" s="117">
        <v>300</v>
      </c>
      <c r="E107" s="117">
        <f>ROUND($D107*$C$9*$C$10,2)</f>
        <v>340.91</v>
      </c>
      <c r="F107" s="117">
        <v>325</v>
      </c>
      <c r="G107" s="139">
        <f>IFERROR(($F107/$E107)-1,0)</f>
        <v>-0.04666920888210968</v>
      </c>
      <c r="H107" s="139">
        <f>IFERROR((F107/D107)-1,0)</f>
        <v>0.08333333333333326</v>
      </c>
      <c r="I107" s="140">
        <v>100</v>
      </c>
      <c r="J107" s="141">
        <f>IFERROR($E107*$I107,0)</f>
        <v>34091</v>
      </c>
      <c r="K107" s="141">
        <f>IFERROR($F107*$I107,0)</f>
        <v>32500</v>
      </c>
      <c r="L107" s="141">
        <f>IFERROR(K107-J107,0)</f>
        <v>-1591</v>
      </c>
    </row>
    <row r="108" spans="1:12" s="92" customFormat="1" ht="15">
      <c r="A108" s="112"/>
      <c r="B108" s="113"/>
      <c r="C108" s="116"/>
      <c r="D108" s="142"/>
      <c r="E108" s="117">
        <f>ROUND($D108*$C$9*$C$10,2)</f>
        <v>0</v>
      </c>
      <c r="F108" s="117">
        <v>0</v>
      </c>
      <c r="G108" s="139">
        <f t="shared" si="47" ref="G108:G111">IFERROR(($F108/$E108)-1,0)</f>
        <v>0</v>
      </c>
      <c r="H108" s="139">
        <f t="shared" si="48" ref="H108:H111">IFERROR((F108/D108)-1,0)</f>
        <v>0</v>
      </c>
      <c r="I108" s="140"/>
      <c r="J108" s="141">
        <f t="shared" si="49" ref="J108:J111">IFERROR($E108*$I108,0)</f>
        <v>0</v>
      </c>
      <c r="K108" s="141">
        <f t="shared" si="50" ref="K108:K111">IFERROR($F108*$I108,0)</f>
        <v>0</v>
      </c>
      <c r="L108" s="141">
        <f t="shared" si="51" ref="L108:L111">IFERROR(K108-J108,0)</f>
        <v>0</v>
      </c>
    </row>
    <row r="109" spans="1:12" s="92" customFormat="1" ht="15">
      <c r="A109" s="112"/>
      <c r="B109" s="113"/>
      <c r="C109" s="116"/>
      <c r="D109" s="143"/>
      <c r="E109" s="117">
        <f>ROUND($D109*$C$9*$C$10,2)</f>
        <v>0</v>
      </c>
      <c r="F109" s="117">
        <v>0</v>
      </c>
      <c r="G109" s="139">
        <f>IFERROR(($F109/$E109)-1,0)</f>
        <v>0</v>
      </c>
      <c r="H109" s="139">
        <f>IFERROR((F109/D109)-1,0)</f>
        <v>0</v>
      </c>
      <c r="I109" s="140"/>
      <c r="J109" s="141">
        <f>IFERROR($E109*$I109,0)</f>
        <v>0</v>
      </c>
      <c r="K109" s="141">
        <f>IFERROR($F109*$I109,0)</f>
        <v>0</v>
      </c>
      <c r="L109" s="141">
        <f>IFERROR(K109-J109,0)</f>
        <v>0</v>
      </c>
    </row>
    <row r="110" spans="1:12" s="92" customFormat="1" ht="15">
      <c r="A110" s="112"/>
      <c r="B110" s="113"/>
      <c r="C110" s="116"/>
      <c r="D110" s="142"/>
      <c r="E110" s="117">
        <f>ROUND($D110*$C$9*$C$10,2)</f>
        <v>0</v>
      </c>
      <c r="F110" s="117">
        <v>0</v>
      </c>
      <c r="G110" s="139">
        <f>IFERROR(($F110/$E110)-1,0)</f>
        <v>0</v>
      </c>
      <c r="H110" s="139">
        <f>IFERROR((F110/D110)-1,0)</f>
        <v>0</v>
      </c>
      <c r="I110" s="140"/>
      <c r="J110" s="141">
        <f>IFERROR($E110*$I110,0)</f>
        <v>0</v>
      </c>
      <c r="K110" s="141">
        <f>IFERROR($F110*$I110,0)</f>
        <v>0</v>
      </c>
      <c r="L110" s="141">
        <f>IFERROR(K110-J110,0)</f>
        <v>0</v>
      </c>
    </row>
    <row r="111" spans="1:15" ht="15">
      <c r="A111" s="112"/>
      <c r="B111" s="113"/>
      <c r="C111" s="116"/>
      <c r="D111" s="142"/>
      <c r="E111" s="117">
        <f>ROUND($D111*$C$9*$C$10,2)</f>
        <v>0</v>
      </c>
      <c r="F111" s="117">
        <v>0</v>
      </c>
      <c r="G111" s="139">
        <f>IFERROR(($F111/$E111)-1,0)</f>
        <v>0</v>
      </c>
      <c r="H111" s="139">
        <f>IFERROR((F111/D111)-1,0)</f>
        <v>0</v>
      </c>
      <c r="I111" s="144"/>
      <c r="J111" s="141">
        <f>IFERROR($E111*$I111,0)</f>
        <v>0</v>
      </c>
      <c r="K111" s="141">
        <f>IFERROR($F111*$I111,0)</f>
        <v>0</v>
      </c>
      <c r="L111" s="141">
        <f>IFERROR(K111-J111,0)</f>
        <v>0</v>
      </c>
      <c r="M111" s="123"/>
      <c r="N111" s="123"/>
      <c r="O111" s="123"/>
    </row>
    <row r="112" spans="1:12" ht="15">
      <c r="A112" s="112"/>
      <c r="B112" s="20" t="s">
        <v>44</v>
      </c>
      <c r="C112" s="20" t="s">
        <v>40</v>
      </c>
      <c r="D112" s="142"/>
      <c r="E112" s="142"/>
      <c r="F112" s="142"/>
      <c r="G112" s="142"/>
      <c r="H112" s="142"/>
      <c r="I112" s="144"/>
      <c r="J112" s="144"/>
      <c r="K112" s="145"/>
      <c r="L112" s="146"/>
    </row>
    <row r="113" spans="1:12" ht="15">
      <c r="A113" s="112" t="s">
        <v>58</v>
      </c>
      <c r="B113" s="113" t="s">
        <v>60</v>
      </c>
      <c r="C113" s="116" t="s">
        <v>40</v>
      </c>
      <c r="D113" s="117">
        <v>325</v>
      </c>
      <c r="E113" s="117">
        <f>ROUND($D113*$C$9*$C$10,2)</f>
        <v>369.32</v>
      </c>
      <c r="F113" s="117">
        <v>350</v>
      </c>
      <c r="G113" s="139">
        <f>IFERROR(($F113/$E113)-1,0)</f>
        <v>-0.05231235784685362</v>
      </c>
      <c r="H113" s="139">
        <f>IFERROR((F113/D113)-1,0)</f>
        <v>0.07692307692307687</v>
      </c>
      <c r="I113" s="140">
        <v>100</v>
      </c>
      <c r="J113" s="141">
        <f>IFERROR($E113*$I113,0)</f>
        <v>36932</v>
      </c>
      <c r="K113" s="141">
        <f>IFERROR($F113*$I113,0)</f>
        <v>35000</v>
      </c>
      <c r="L113" s="141">
        <f>IFERROR(K113-J113,0)</f>
        <v>-1932</v>
      </c>
    </row>
    <row r="114" spans="1:12" ht="15">
      <c r="A114" s="112"/>
      <c r="B114" s="113"/>
      <c r="C114" s="116"/>
      <c r="D114" s="142"/>
      <c r="E114" s="117">
        <f>ROUND($D114*$C$9*$C$10,2)</f>
        <v>0</v>
      </c>
      <c r="F114" s="117">
        <v>0</v>
      </c>
      <c r="G114" s="139">
        <f>IFERROR(($F114/$E114)-1,0)</f>
        <v>0</v>
      </c>
      <c r="H114" s="139">
        <f t="shared" si="52" ref="H114:H117">IFERROR((F114/D114)-1,0)</f>
        <v>0</v>
      </c>
      <c r="I114" s="140"/>
      <c r="J114" s="141">
        <f>IFERROR($E114*$I114,0)</f>
        <v>0</v>
      </c>
      <c r="K114" s="141">
        <f>IFERROR($F114*$I114,0)</f>
        <v>0</v>
      </c>
      <c r="L114" s="141">
        <f t="shared" si="53" ref="L114:L117">IFERROR(K114-J114,0)</f>
        <v>0</v>
      </c>
    </row>
    <row r="115" spans="1:12" ht="15">
      <c r="A115" s="112"/>
      <c r="B115" s="113"/>
      <c r="C115" s="116"/>
      <c r="D115" s="143"/>
      <c r="E115" s="117">
        <f>ROUND($D115*$C$9*$C$10,2)</f>
        <v>0</v>
      </c>
      <c r="F115" s="117">
        <v>0</v>
      </c>
      <c r="G115" s="139">
        <f>IFERROR(($F115/$E115)-1,0)</f>
        <v>0</v>
      </c>
      <c r="H115" s="139">
        <f>IFERROR((F115/D115)-1,0)</f>
        <v>0</v>
      </c>
      <c r="I115" s="140"/>
      <c r="J115" s="141">
        <f>IFERROR($E115*$I115,0)</f>
        <v>0</v>
      </c>
      <c r="K115" s="141">
        <f>IFERROR($F115*$I115,0)</f>
        <v>0</v>
      </c>
      <c r="L115" s="141">
        <f>IFERROR(K115-J115,0)</f>
        <v>0</v>
      </c>
    </row>
    <row r="116" spans="1:13" ht="15">
      <c r="A116" s="112"/>
      <c r="B116" s="113"/>
      <c r="C116" s="116"/>
      <c r="D116" s="142"/>
      <c r="E116" s="117">
        <f>ROUND($D116*$C$9*$C$10,2)</f>
        <v>0</v>
      </c>
      <c r="F116" s="117">
        <v>0</v>
      </c>
      <c r="G116" s="139">
        <f>IFERROR(($F116/$E116)-1,0)</f>
        <v>0</v>
      </c>
      <c r="H116" s="139">
        <f>IFERROR((F116/D116)-1,0)</f>
        <v>0</v>
      </c>
      <c r="I116" s="140"/>
      <c r="J116" s="141">
        <f>IFERROR($E116*$I116,0)</f>
        <v>0</v>
      </c>
      <c r="K116" s="141">
        <f>IFERROR($F116*$I116,0)</f>
        <v>0</v>
      </c>
      <c r="L116" s="141">
        <f>IFERROR(K116-J116,0)</f>
        <v>0</v>
      </c>
      <c r="M116" s="36"/>
    </row>
    <row r="117" spans="1:13" ht="15">
      <c r="A117" s="112"/>
      <c r="B117" s="113"/>
      <c r="C117" s="116"/>
      <c r="D117" s="142"/>
      <c r="E117" s="117">
        <f>ROUND($D117*$C$9*$C$10,2)</f>
        <v>0</v>
      </c>
      <c r="F117" s="117">
        <v>0</v>
      </c>
      <c r="G117" s="139">
        <f>IFERROR(($F117/$E117)-1,0)</f>
        <v>0</v>
      </c>
      <c r="H117" s="139">
        <f>IFERROR((F117/D117)-1,0)</f>
        <v>0</v>
      </c>
      <c r="I117" s="144"/>
      <c r="J117" s="141">
        <f>IFERROR($E117*$I117,0)</f>
        <v>0</v>
      </c>
      <c r="K117" s="141">
        <f>IFERROR($F117*$I117,0)</f>
        <v>0</v>
      </c>
      <c r="L117" s="141">
        <f>IFERROR(K117-J117,0)</f>
        <v>0</v>
      </c>
      <c r="M117" s="36"/>
    </row>
    <row r="118" spans="1:13" ht="15">
      <c r="A118" s="112"/>
      <c r="B118" s="20" t="s">
        <v>43</v>
      </c>
      <c r="C118" s="20" t="s">
        <v>41</v>
      </c>
      <c r="D118" s="142"/>
      <c r="E118" s="142"/>
      <c r="F118" s="142"/>
      <c r="G118" s="142"/>
      <c r="H118" s="142"/>
      <c r="I118" s="144"/>
      <c r="J118" s="144"/>
      <c r="K118" s="145"/>
      <c r="L118" s="146"/>
      <c r="M118" s="36"/>
    </row>
    <row r="119" spans="1:13" ht="15">
      <c r="A119" s="112" t="s">
        <v>58</v>
      </c>
      <c r="B119" s="113" t="s">
        <v>61</v>
      </c>
      <c r="C119" s="116" t="s">
        <v>41</v>
      </c>
      <c r="D119" s="117">
        <v>350</v>
      </c>
      <c r="E119" s="117">
        <f>ROUND($D119*$C$9*$C$10,2)</f>
        <v>397.73</v>
      </c>
      <c r="F119" s="117">
        <v>375</v>
      </c>
      <c r="G119" s="139">
        <f>IFERROR(($F119/$E119)-1,0)</f>
        <v>-0.05714932240464643</v>
      </c>
      <c r="H119" s="139">
        <f>IFERROR((F119/D119)-1,0)</f>
        <v>0.0714285714285714</v>
      </c>
      <c r="I119" s="140">
        <v>100</v>
      </c>
      <c r="J119" s="141">
        <f>IFERROR($E119*$I119,0)</f>
        <v>39773</v>
      </c>
      <c r="K119" s="141">
        <f>IFERROR($F119*$I119,0)</f>
        <v>37500</v>
      </c>
      <c r="L119" s="141">
        <f>IFERROR(K119-J119,0)</f>
        <v>-2273</v>
      </c>
      <c r="M119" s="36"/>
    </row>
    <row r="120" spans="1:13" ht="15">
      <c r="A120" s="112"/>
      <c r="B120" s="113"/>
      <c r="C120" s="116"/>
      <c r="D120" s="142"/>
      <c r="E120" s="117">
        <f>ROUND($D120*$C$9*$C$10,2)</f>
        <v>0</v>
      </c>
      <c r="F120" s="117">
        <v>0</v>
      </c>
      <c r="G120" s="139">
        <f>IFERROR(($F120/$E120)-1,0)</f>
        <v>0</v>
      </c>
      <c r="H120" s="139">
        <f t="shared" si="54" ref="H120:H123">IFERROR((F120/D120)-1,0)</f>
        <v>0</v>
      </c>
      <c r="I120" s="140"/>
      <c r="J120" s="141">
        <f>IFERROR($E120*$I120,0)</f>
        <v>0</v>
      </c>
      <c r="K120" s="141">
        <f>IFERROR($F120*$I120,0)</f>
        <v>0</v>
      </c>
      <c r="L120" s="141">
        <f t="shared" si="55" ref="L120:L123">IFERROR(K120-J120,0)</f>
        <v>0</v>
      </c>
      <c r="M120" s="36"/>
    </row>
    <row r="121" spans="1:13" ht="15">
      <c r="A121" s="112"/>
      <c r="B121" s="113"/>
      <c r="C121" s="116"/>
      <c r="D121" s="143"/>
      <c r="E121" s="117">
        <f>ROUND($D121*$C$9*$C$10,2)</f>
        <v>0</v>
      </c>
      <c r="F121" s="117">
        <v>0</v>
      </c>
      <c r="G121" s="139">
        <f>IFERROR(($F121/$E121)-1,0)</f>
        <v>0</v>
      </c>
      <c r="H121" s="139">
        <f>IFERROR((F121/D121)-1,0)</f>
        <v>0</v>
      </c>
      <c r="I121" s="140"/>
      <c r="J121" s="141">
        <f>IFERROR($E121*$I121,0)</f>
        <v>0</v>
      </c>
      <c r="K121" s="141">
        <f>IFERROR($F121*$I121,0)</f>
        <v>0</v>
      </c>
      <c r="L121" s="141">
        <f>IFERROR(K121-J121,0)</f>
        <v>0</v>
      </c>
      <c r="M121" s="36"/>
    </row>
    <row r="122" spans="1:13" ht="15">
      <c r="A122" s="112"/>
      <c r="B122" s="113"/>
      <c r="C122" s="116"/>
      <c r="D122" s="142"/>
      <c r="E122" s="117">
        <f>ROUND($D122*$C$9*$C$10,2)</f>
        <v>0</v>
      </c>
      <c r="F122" s="117">
        <v>0</v>
      </c>
      <c r="G122" s="139">
        <f>IFERROR(($F122/$E122)-1,0)</f>
        <v>0</v>
      </c>
      <c r="H122" s="139">
        <f>IFERROR((F122/D122)-1,0)</f>
        <v>0</v>
      </c>
      <c r="I122" s="140"/>
      <c r="J122" s="141">
        <f>IFERROR($E122*$I122,0)</f>
        <v>0</v>
      </c>
      <c r="K122" s="141">
        <f>IFERROR($F122*$I122,0)</f>
        <v>0</v>
      </c>
      <c r="L122" s="141">
        <f>IFERROR(K122-J122,0)</f>
        <v>0</v>
      </c>
      <c r="M122" s="36"/>
    </row>
    <row r="123" spans="1:13" ht="15">
      <c r="A123" s="112"/>
      <c r="B123" s="113"/>
      <c r="C123" s="116"/>
      <c r="D123" s="142"/>
      <c r="E123" s="117">
        <f>ROUND($D123*$C$9*$C$10,2)</f>
        <v>0</v>
      </c>
      <c r="F123" s="117">
        <v>0</v>
      </c>
      <c r="G123" s="139">
        <f>IFERROR(($F123/$E123)-1,0)</f>
        <v>0</v>
      </c>
      <c r="H123" s="139">
        <f>IFERROR((F123/D123)-1,0)</f>
        <v>0</v>
      </c>
      <c r="I123" s="144"/>
      <c r="J123" s="141">
        <f>IFERROR($E123*$I123,0)</f>
        <v>0</v>
      </c>
      <c r="K123" s="141">
        <f>IFERROR($F123*$I123,0)</f>
        <v>0</v>
      </c>
      <c r="L123" s="141">
        <f>IFERROR(K123-J123,0)</f>
        <v>0</v>
      </c>
      <c r="M123" s="36"/>
    </row>
    <row r="124" spans="1:13" ht="15">
      <c r="A124" s="112"/>
      <c r="B124" s="20" t="s">
        <v>42</v>
      </c>
      <c r="C124" s="20" t="s">
        <v>57</v>
      </c>
      <c r="D124" s="142"/>
      <c r="E124" s="142"/>
      <c r="F124" s="142"/>
      <c r="G124" s="142"/>
      <c r="H124" s="142"/>
      <c r="I124" s="144"/>
      <c r="J124" s="144"/>
      <c r="K124" s="145"/>
      <c r="L124" s="146"/>
      <c r="M124" s="36"/>
    </row>
    <row r="125" spans="1:13" ht="15">
      <c r="A125" s="112" t="s">
        <v>58</v>
      </c>
      <c r="B125" s="113" t="s">
        <v>62</v>
      </c>
      <c r="C125" s="116" t="s">
        <v>57</v>
      </c>
      <c r="D125" s="117">
        <v>375</v>
      </c>
      <c r="E125" s="117">
        <f>ROUND($D125*$C$9*$C$10,2)</f>
        <v>426.14</v>
      </c>
      <c r="F125" s="117">
        <v>400</v>
      </c>
      <c r="G125" s="139">
        <f>IFERROR(($F125/$E125)-1,0)</f>
        <v>-0.06134134322053786</v>
      </c>
      <c r="H125" s="139">
        <f>IFERROR((F125/D125)-1,0)</f>
        <v>0.06666666666666665</v>
      </c>
      <c r="I125" s="140">
        <v>100</v>
      </c>
      <c r="J125" s="141">
        <f>IFERROR($E125*$I125,0)</f>
        <v>42614</v>
      </c>
      <c r="K125" s="141">
        <f>IFERROR($F125*$I125,0)</f>
        <v>40000</v>
      </c>
      <c r="L125" s="141">
        <f>IFERROR(K125-J125,0)</f>
        <v>-2614</v>
      </c>
      <c r="M125" s="36"/>
    </row>
    <row r="126" spans="1:13" ht="15">
      <c r="A126" s="112"/>
      <c r="B126" s="113"/>
      <c r="C126" s="116"/>
      <c r="D126" s="142"/>
      <c r="E126" s="117">
        <f>ROUND($D126*$C$9*$C$10,2)</f>
        <v>0</v>
      </c>
      <c r="F126" s="117">
        <v>0</v>
      </c>
      <c r="G126" s="139">
        <f>IFERROR(($F126/$E126)-1,0)</f>
        <v>0</v>
      </c>
      <c r="H126" s="139">
        <f t="shared" si="56" ref="H126:H129">IFERROR((F126/D126)-1,0)</f>
        <v>0</v>
      </c>
      <c r="I126" s="140"/>
      <c r="J126" s="141">
        <f>IFERROR($E126*$I126,0)</f>
        <v>0</v>
      </c>
      <c r="K126" s="141">
        <f>IFERROR($F126*$I126,0)</f>
        <v>0</v>
      </c>
      <c r="L126" s="141">
        <f t="shared" si="57" ref="L126:L129">IFERROR(K126-J126,0)</f>
        <v>0</v>
      </c>
      <c r="M126" s="36"/>
    </row>
    <row r="127" spans="1:13" ht="15">
      <c r="A127" s="112"/>
      <c r="B127" s="113"/>
      <c r="C127" s="116"/>
      <c r="D127" s="143"/>
      <c r="E127" s="117">
        <f>ROUND($D127*$C$9*$C$10,2)</f>
        <v>0</v>
      </c>
      <c r="F127" s="117">
        <v>0</v>
      </c>
      <c r="G127" s="139">
        <f>IFERROR(($F127/$E127)-1,0)</f>
        <v>0</v>
      </c>
      <c r="H127" s="139">
        <f>IFERROR((F127/D127)-1,0)</f>
        <v>0</v>
      </c>
      <c r="I127" s="140"/>
      <c r="J127" s="141">
        <f>IFERROR($E127*$I127,0)</f>
        <v>0</v>
      </c>
      <c r="K127" s="141">
        <f>IFERROR($F127*$I127,0)</f>
        <v>0</v>
      </c>
      <c r="L127" s="141">
        <f>IFERROR(K127-J127,0)</f>
        <v>0</v>
      </c>
      <c r="M127" s="36"/>
    </row>
    <row r="128" spans="1:13" ht="15">
      <c r="A128" s="112"/>
      <c r="B128" s="113"/>
      <c r="C128" s="116"/>
      <c r="D128" s="142"/>
      <c r="E128" s="117">
        <f>ROUND($D128*$C$9*$C$10,2)</f>
        <v>0</v>
      </c>
      <c r="F128" s="117">
        <v>0</v>
      </c>
      <c r="G128" s="139">
        <f>IFERROR(($F128/$E128)-1,0)</f>
        <v>0</v>
      </c>
      <c r="H128" s="139">
        <f>IFERROR((F128/D128)-1,0)</f>
        <v>0</v>
      </c>
      <c r="I128" s="140"/>
      <c r="J128" s="141">
        <f>IFERROR($E128*$I128,0)</f>
        <v>0</v>
      </c>
      <c r="K128" s="141">
        <f>IFERROR($F128*$I128,0)</f>
        <v>0</v>
      </c>
      <c r="L128" s="141">
        <f>IFERROR(K128-J128,0)</f>
        <v>0</v>
      </c>
      <c r="M128" s="36"/>
    </row>
    <row r="129" spans="1:13" ht="15">
      <c r="A129" s="112"/>
      <c r="B129" s="113"/>
      <c r="C129" s="116"/>
      <c r="D129" s="142"/>
      <c r="E129" s="117">
        <f>ROUND($D129*$C$9*$C$10,2)</f>
        <v>0</v>
      </c>
      <c r="F129" s="117">
        <v>0</v>
      </c>
      <c r="G129" s="139">
        <f>IFERROR(($F129/$E129)-1,0)</f>
        <v>0</v>
      </c>
      <c r="H129" s="139">
        <f>IFERROR((F129/D129)-1,0)</f>
        <v>0</v>
      </c>
      <c r="I129" s="144"/>
      <c r="J129" s="141">
        <f>IFERROR($E129*$I129,0)</f>
        <v>0</v>
      </c>
      <c r="K129" s="141">
        <f>IFERROR($F129*$I129,0)</f>
        <v>0</v>
      </c>
      <c r="L129" s="141">
        <f>IFERROR(K129-J129,0)</f>
        <v>0</v>
      </c>
      <c r="M129" s="36"/>
    </row>
    <row r="130" spans="1:13" ht="15">
      <c r="A130" s="112"/>
      <c r="B130" s="20" t="s">
        <v>46</v>
      </c>
      <c r="C130" s="20" t="s">
        <v>47</v>
      </c>
      <c r="D130" s="142"/>
      <c r="E130" s="142"/>
      <c r="F130" s="142"/>
      <c r="G130" s="142"/>
      <c r="H130" s="142"/>
      <c r="I130" s="144"/>
      <c r="J130" s="144"/>
      <c r="K130" s="145"/>
      <c r="L130" s="146"/>
      <c r="M130" s="36"/>
    </row>
    <row r="131" spans="1:13" ht="15">
      <c r="A131" s="112" t="s">
        <v>58</v>
      </c>
      <c r="B131" s="113" t="s">
        <v>63</v>
      </c>
      <c r="C131" s="116" t="s">
        <v>47</v>
      </c>
      <c r="D131" s="117">
        <v>400</v>
      </c>
      <c r="E131" s="117">
        <f>ROUND($D131*$C$9*$C$10,2)</f>
        <v>454.55</v>
      </c>
      <c r="F131" s="117">
        <v>425</v>
      </c>
      <c r="G131" s="139">
        <f>IFERROR(($F131/$E131)-1,0)</f>
        <v>-0.06500934990650098</v>
      </c>
      <c r="H131" s="139">
        <f>IFERROR((F131/D131)-1,0)</f>
        <v>0.0625</v>
      </c>
      <c r="I131" s="140">
        <v>100</v>
      </c>
      <c r="J131" s="141">
        <f>IFERROR($E131*$I131,0)</f>
        <v>45455</v>
      </c>
      <c r="K131" s="141">
        <f>IFERROR($F131*$I131,0)</f>
        <v>42500</v>
      </c>
      <c r="L131" s="141">
        <f>IFERROR(K131-J131,0)</f>
        <v>-2955</v>
      </c>
      <c r="M131" s="36"/>
    </row>
    <row r="132" spans="1:13" ht="15">
      <c r="A132" s="112"/>
      <c r="B132" s="113"/>
      <c r="C132" s="116"/>
      <c r="D132" s="142"/>
      <c r="E132" s="117">
        <f>ROUND($D132*$C$9*$C$10,2)</f>
        <v>0</v>
      </c>
      <c r="F132" s="117">
        <v>0</v>
      </c>
      <c r="G132" s="139">
        <f>IFERROR(($F132/$E132)-1,0)</f>
        <v>0</v>
      </c>
      <c r="H132" s="139">
        <f t="shared" si="58" ref="H132:H135">IFERROR((F132/D132)-1,0)</f>
        <v>0</v>
      </c>
      <c r="I132" s="140"/>
      <c r="J132" s="141">
        <f>IFERROR($E132*$I132,0)</f>
        <v>0</v>
      </c>
      <c r="K132" s="141">
        <f>IFERROR($F132*$I132,0)</f>
        <v>0</v>
      </c>
      <c r="L132" s="141">
        <f t="shared" si="59" ref="L132:L135">IFERROR(K132-J132,0)</f>
        <v>0</v>
      </c>
      <c r="M132" s="36"/>
    </row>
    <row r="133" spans="1:13" ht="15">
      <c r="A133" s="112"/>
      <c r="B133" s="113"/>
      <c r="C133" s="116"/>
      <c r="D133" s="143"/>
      <c r="E133" s="117">
        <f>ROUND($D133*$C$9*$C$10,2)</f>
        <v>0</v>
      </c>
      <c r="F133" s="117">
        <v>0</v>
      </c>
      <c r="G133" s="139">
        <f>IFERROR(($F133/$E133)-1,0)</f>
        <v>0</v>
      </c>
      <c r="H133" s="139">
        <f>IFERROR((F133/D133)-1,0)</f>
        <v>0</v>
      </c>
      <c r="I133" s="140"/>
      <c r="J133" s="141">
        <f>IFERROR($E133*$I133,0)</f>
        <v>0</v>
      </c>
      <c r="K133" s="141">
        <f>IFERROR($F133*$I133,0)</f>
        <v>0</v>
      </c>
      <c r="L133" s="141">
        <f>IFERROR(K133-J133,0)</f>
        <v>0</v>
      </c>
      <c r="M133" s="36"/>
    </row>
    <row r="134" spans="1:13" ht="15">
      <c r="A134" s="112"/>
      <c r="B134" s="113"/>
      <c r="C134" s="116"/>
      <c r="D134" s="142"/>
      <c r="E134" s="117">
        <f>ROUND($D134*$C$9*$C$10,2)</f>
        <v>0</v>
      </c>
      <c r="F134" s="117">
        <v>0</v>
      </c>
      <c r="G134" s="139">
        <f>IFERROR(($F134/$E134)-1,0)</f>
        <v>0</v>
      </c>
      <c r="H134" s="139">
        <f>IFERROR((F134/D134)-1,0)</f>
        <v>0</v>
      </c>
      <c r="I134" s="140"/>
      <c r="J134" s="141">
        <f>IFERROR($E134*$I134,0)</f>
        <v>0</v>
      </c>
      <c r="K134" s="141">
        <f>IFERROR($F134*$I134,0)</f>
        <v>0</v>
      </c>
      <c r="L134" s="141">
        <f>IFERROR(K134-J134,0)</f>
        <v>0</v>
      </c>
      <c r="M134" s="36"/>
    </row>
    <row r="135" spans="1:13" ht="15">
      <c r="A135" s="112"/>
      <c r="B135" s="113"/>
      <c r="C135" s="116"/>
      <c r="D135" s="142"/>
      <c r="E135" s="117">
        <f>ROUND($D135*$C$9*$C$10,2)</f>
        <v>0</v>
      </c>
      <c r="F135" s="117">
        <v>0</v>
      </c>
      <c r="G135" s="139">
        <f>IFERROR(($F135/$E135)-1,0)</f>
        <v>0</v>
      </c>
      <c r="H135" s="139">
        <f>IFERROR((F135/D135)-1,0)</f>
        <v>0</v>
      </c>
      <c r="I135" s="144"/>
      <c r="J135" s="141">
        <f>IFERROR($E135*$I135,0)</f>
        <v>0</v>
      </c>
      <c r="K135" s="141">
        <f>IFERROR($F135*$I135,0)</f>
        <v>0</v>
      </c>
      <c r="L135" s="141">
        <f>IFERROR(K135-J135,0)</f>
        <v>0</v>
      </c>
      <c r="M135" s="36"/>
    </row>
    <row r="136" spans="1:13" ht="15">
      <c r="A136" s="112"/>
      <c r="B136" s="20" t="s">
        <v>48</v>
      </c>
      <c r="C136" s="20" t="s">
        <v>49</v>
      </c>
      <c r="D136" s="142"/>
      <c r="E136" s="142"/>
      <c r="F136" s="142"/>
      <c r="G136" s="142"/>
      <c r="H136" s="142"/>
      <c r="I136" s="144"/>
      <c r="J136" s="144"/>
      <c r="K136" s="145"/>
      <c r="L136" s="146"/>
      <c r="M136" s="36"/>
    </row>
    <row r="137" spans="1:13" ht="15">
      <c r="A137" s="112" t="s">
        <v>58</v>
      </c>
      <c r="B137" s="113" t="s">
        <v>64</v>
      </c>
      <c r="C137" s="116" t="s">
        <v>49</v>
      </c>
      <c r="D137" s="117">
        <v>425</v>
      </c>
      <c r="E137" s="117">
        <f>ROUND($D137*$C$9*$C$10,2)</f>
        <v>482.95</v>
      </c>
      <c r="F137" s="117">
        <v>450</v>
      </c>
      <c r="G137" s="139">
        <f>IFERROR(($F137/$E137)-1,0)</f>
        <v>-0.06822652448493627</v>
      </c>
      <c r="H137" s="139">
        <f>IFERROR((F137/D137)-1,0)</f>
        <v>0.05882352941176472</v>
      </c>
      <c r="I137" s="140">
        <v>100</v>
      </c>
      <c r="J137" s="141">
        <f>IFERROR($E137*$I137,0)</f>
        <v>48295</v>
      </c>
      <c r="K137" s="141">
        <f>IFERROR($F137*$I137,0)</f>
        <v>45000</v>
      </c>
      <c r="L137" s="141">
        <f>IFERROR(K137-J137,0)</f>
        <v>-3295</v>
      </c>
      <c r="M137" s="36"/>
    </row>
    <row r="138" spans="1:13" ht="15">
      <c r="A138" s="112"/>
      <c r="B138" s="113"/>
      <c r="C138" s="116"/>
      <c r="D138" s="142"/>
      <c r="E138" s="117">
        <f>ROUND($D138*$C$9*$C$10,2)</f>
        <v>0</v>
      </c>
      <c r="F138" s="117">
        <v>0</v>
      </c>
      <c r="G138" s="139">
        <f>IFERROR(($F138/$E138)-1,0)</f>
        <v>0</v>
      </c>
      <c r="H138" s="139">
        <f t="shared" si="60" ref="H138:H141">IFERROR((F138/D138)-1,0)</f>
        <v>0</v>
      </c>
      <c r="I138" s="140"/>
      <c r="J138" s="141">
        <f>IFERROR($E138*$I138,0)</f>
        <v>0</v>
      </c>
      <c r="K138" s="141">
        <f>IFERROR($F138*$I138,0)</f>
        <v>0</v>
      </c>
      <c r="L138" s="141">
        <f t="shared" si="61" ref="L138:L141">IFERROR(K138-J138,0)</f>
        <v>0</v>
      </c>
      <c r="M138" s="36"/>
    </row>
    <row r="139" spans="1:13" ht="15">
      <c r="A139" s="112"/>
      <c r="B139" s="113"/>
      <c r="C139" s="116"/>
      <c r="D139" s="143"/>
      <c r="E139" s="117">
        <f>ROUND($D139*$C$9*$C$10,2)</f>
        <v>0</v>
      </c>
      <c r="F139" s="117">
        <v>0</v>
      </c>
      <c r="G139" s="139">
        <f>IFERROR(($F139/$E139)-1,0)</f>
        <v>0</v>
      </c>
      <c r="H139" s="139">
        <f>IFERROR((F139/D139)-1,0)</f>
        <v>0</v>
      </c>
      <c r="I139" s="140"/>
      <c r="J139" s="141">
        <f>IFERROR($E139*$I139,0)</f>
        <v>0</v>
      </c>
      <c r="K139" s="141">
        <f>IFERROR($F139*$I139,0)</f>
        <v>0</v>
      </c>
      <c r="L139" s="141">
        <f>IFERROR(K139-J139,0)</f>
        <v>0</v>
      </c>
      <c r="M139" s="36"/>
    </row>
    <row r="140" spans="1:13" ht="15">
      <c r="A140" s="112"/>
      <c r="B140" s="113"/>
      <c r="C140" s="116"/>
      <c r="D140" s="142"/>
      <c r="E140" s="117">
        <f>ROUND($D140*$C$9*$C$10,2)</f>
        <v>0</v>
      </c>
      <c r="F140" s="117">
        <v>0</v>
      </c>
      <c r="G140" s="139">
        <f>IFERROR(($F140/$E140)-1,0)</f>
        <v>0</v>
      </c>
      <c r="H140" s="139">
        <f>IFERROR((F140/D140)-1,0)</f>
        <v>0</v>
      </c>
      <c r="I140" s="140"/>
      <c r="J140" s="141">
        <f>IFERROR($E140*$I140,0)</f>
        <v>0</v>
      </c>
      <c r="K140" s="141">
        <f>IFERROR($F140*$I140,0)</f>
        <v>0</v>
      </c>
      <c r="L140" s="141">
        <f>IFERROR(K140-J140,0)</f>
        <v>0</v>
      </c>
      <c r="M140" s="36"/>
    </row>
    <row r="141" spans="1:13" ht="15">
      <c r="A141" s="112"/>
      <c r="B141" s="113"/>
      <c r="C141" s="116"/>
      <c r="D141" s="142"/>
      <c r="E141" s="117">
        <f>ROUND($D141*$C$9*$C$10,2)</f>
        <v>0</v>
      </c>
      <c r="F141" s="117">
        <v>0</v>
      </c>
      <c r="G141" s="139">
        <f>IFERROR(($F141/$E141)-1,0)</f>
        <v>0</v>
      </c>
      <c r="H141" s="139">
        <f>IFERROR((F141/D141)-1,0)</f>
        <v>0</v>
      </c>
      <c r="I141" s="144"/>
      <c r="J141" s="141">
        <f>IFERROR($E141*$I141,0)</f>
        <v>0</v>
      </c>
      <c r="K141" s="141">
        <f>IFERROR($F141*$I141,0)</f>
        <v>0</v>
      </c>
      <c r="L141" s="141">
        <f>IFERROR(K141-J141,0)</f>
        <v>0</v>
      </c>
      <c r="M141" s="36"/>
    </row>
    <row r="142" spans="1:13" ht="15">
      <c r="A142" s="112"/>
      <c r="B142" s="20" t="s">
        <v>50</v>
      </c>
      <c r="C142" s="20" t="s">
        <v>51</v>
      </c>
      <c r="D142" s="142"/>
      <c r="E142" s="142"/>
      <c r="F142" s="142"/>
      <c r="G142" s="142"/>
      <c r="H142" s="142"/>
      <c r="I142" s="144"/>
      <c r="J142" s="144"/>
      <c r="K142" s="145"/>
      <c r="L142" s="146"/>
      <c r="M142" s="36"/>
    </row>
    <row r="143" spans="1:13" ht="15">
      <c r="A143" s="112" t="s">
        <v>58</v>
      </c>
      <c r="B143" s="113" t="s">
        <v>65</v>
      </c>
      <c r="C143" s="116" t="s">
        <v>51</v>
      </c>
      <c r="D143" s="117">
        <v>450</v>
      </c>
      <c r="E143" s="117">
        <f>ROUND($D143*$C$9*$C$10,2)</f>
        <v>511.36</v>
      </c>
      <c r="F143" s="117">
        <v>475</v>
      </c>
      <c r="G143" s="139">
        <f>IFERROR(($F143/$E143)-1,0)</f>
        <v>-0.07110450563204007</v>
      </c>
      <c r="H143" s="139">
        <f>IFERROR((F143/D143)-1,0)</f>
        <v>0.05555555555555558</v>
      </c>
      <c r="I143" s="140">
        <v>100</v>
      </c>
      <c r="J143" s="141">
        <f>IFERROR($E143*$I143,0)</f>
        <v>51136</v>
      </c>
      <c r="K143" s="141">
        <f>IFERROR($F143*$I143,0)</f>
        <v>47500</v>
      </c>
      <c r="L143" s="141">
        <f>IFERROR(K143-J143,0)</f>
        <v>-3636</v>
      </c>
      <c r="M143" s="36"/>
    </row>
    <row r="144" spans="1:13" ht="15">
      <c r="A144" s="112"/>
      <c r="B144" s="113"/>
      <c r="C144" s="116"/>
      <c r="D144" s="142"/>
      <c r="E144" s="117">
        <f>ROUND($D144*$C$9*$C$10,2)</f>
        <v>0</v>
      </c>
      <c r="F144" s="117">
        <v>0</v>
      </c>
      <c r="G144" s="139">
        <f>IFERROR(($F144/$E144)-1,0)</f>
        <v>0</v>
      </c>
      <c r="H144" s="139">
        <f t="shared" si="62" ref="H144:H147">IFERROR((F144/D144)-1,0)</f>
        <v>0</v>
      </c>
      <c r="I144" s="140"/>
      <c r="J144" s="141">
        <f>IFERROR($E144*$I144,0)</f>
        <v>0</v>
      </c>
      <c r="K144" s="141">
        <f>IFERROR($F144*$I144,0)</f>
        <v>0</v>
      </c>
      <c r="L144" s="141">
        <f t="shared" si="63" ref="L144:L147">IFERROR(K144-J144,0)</f>
        <v>0</v>
      </c>
      <c r="M144" s="36"/>
    </row>
    <row r="145" spans="1:13" ht="15">
      <c r="A145" s="112"/>
      <c r="B145" s="113"/>
      <c r="C145" s="116"/>
      <c r="D145" s="143"/>
      <c r="E145" s="117">
        <f>ROUND($D145*$C$9*$C$10,2)</f>
        <v>0</v>
      </c>
      <c r="F145" s="117">
        <v>0</v>
      </c>
      <c r="G145" s="139">
        <f>IFERROR(($F145/$E145)-1,0)</f>
        <v>0</v>
      </c>
      <c r="H145" s="139">
        <f>IFERROR((F145/D145)-1,0)</f>
        <v>0</v>
      </c>
      <c r="I145" s="140"/>
      <c r="J145" s="141">
        <f>IFERROR($E145*$I145,0)</f>
        <v>0</v>
      </c>
      <c r="K145" s="141">
        <f>IFERROR($F145*$I145,0)</f>
        <v>0</v>
      </c>
      <c r="L145" s="141">
        <f>IFERROR(K145-J145,0)</f>
        <v>0</v>
      </c>
      <c r="M145" s="36"/>
    </row>
    <row r="146" spans="1:13" ht="15">
      <c r="A146" s="112"/>
      <c r="B146" s="113"/>
      <c r="C146" s="116"/>
      <c r="D146" s="142"/>
      <c r="E146" s="117">
        <f>ROUND($D146*$C$9*$C$10,2)</f>
        <v>0</v>
      </c>
      <c r="F146" s="117">
        <v>0</v>
      </c>
      <c r="G146" s="139">
        <f>IFERROR(($F146/$E146)-1,0)</f>
        <v>0</v>
      </c>
      <c r="H146" s="139">
        <f>IFERROR((F146/D146)-1,0)</f>
        <v>0</v>
      </c>
      <c r="I146" s="140"/>
      <c r="J146" s="141">
        <f>IFERROR($E146*$I146,0)</f>
        <v>0</v>
      </c>
      <c r="K146" s="141">
        <f>IFERROR($F146*$I146,0)</f>
        <v>0</v>
      </c>
      <c r="L146" s="141">
        <f>IFERROR(K146-J146,0)</f>
        <v>0</v>
      </c>
      <c r="M146" s="36"/>
    </row>
    <row r="147" spans="1:13" ht="15">
      <c r="A147" s="112"/>
      <c r="B147" s="113"/>
      <c r="C147" s="116"/>
      <c r="D147" s="142"/>
      <c r="E147" s="117">
        <f>ROUND($D147*$C$9*$C$10,2)</f>
        <v>0</v>
      </c>
      <c r="F147" s="117">
        <v>0</v>
      </c>
      <c r="G147" s="139">
        <f>IFERROR(($F147/$E147)-1,0)</f>
        <v>0</v>
      </c>
      <c r="H147" s="139">
        <f>IFERROR((F147/D147)-1,0)</f>
        <v>0</v>
      </c>
      <c r="I147" s="144"/>
      <c r="J147" s="141">
        <f>IFERROR($E147*$I147,0)</f>
        <v>0</v>
      </c>
      <c r="K147" s="141">
        <f>IFERROR($F147*$I147,0)</f>
        <v>0</v>
      </c>
      <c r="L147" s="141">
        <f>IFERROR(K147-J147,0)</f>
        <v>0</v>
      </c>
      <c r="M147" s="36"/>
    </row>
    <row r="148" spans="1:13" ht="15">
      <c r="A148" s="112"/>
      <c r="B148" s="20" t="s">
        <v>53</v>
      </c>
      <c r="C148" s="20" t="s">
        <v>54</v>
      </c>
      <c r="D148" s="142"/>
      <c r="E148" s="142"/>
      <c r="F148" s="142"/>
      <c r="G148" s="142"/>
      <c r="H148" s="142"/>
      <c r="I148" s="144"/>
      <c r="J148" s="144"/>
      <c r="K148" s="145"/>
      <c r="L148" s="146"/>
      <c r="M148" s="36"/>
    </row>
    <row r="149" spans="1:13" ht="15">
      <c r="A149" s="112" t="s">
        <v>58</v>
      </c>
      <c r="B149" s="113" t="s">
        <v>66</v>
      </c>
      <c r="C149" s="116" t="s">
        <v>54</v>
      </c>
      <c r="D149" s="117">
        <v>475</v>
      </c>
      <c r="E149" s="117">
        <f>ROUND($D149*$C$9*$C$10,2)</f>
        <v>539.77</v>
      </c>
      <c r="F149" s="117">
        <v>500</v>
      </c>
      <c r="G149" s="139">
        <f>IFERROR(($F149/$E149)-1,0)</f>
        <v>-0.07367953017025763</v>
      </c>
      <c r="H149" s="139">
        <f>IFERROR((F149/D149)-1,0)</f>
        <v>0.05263157894736836</v>
      </c>
      <c r="I149" s="140">
        <v>100</v>
      </c>
      <c r="J149" s="141">
        <f>IFERROR($E149*$I149,0)</f>
        <v>53977</v>
      </c>
      <c r="K149" s="141">
        <f>IFERROR($F149*$I149,0)</f>
        <v>50000</v>
      </c>
      <c r="L149" s="141">
        <f>IFERROR(K149-J149,0)</f>
        <v>-3977</v>
      </c>
      <c r="M149" s="36"/>
    </row>
    <row r="150" spans="1:13" ht="15">
      <c r="A150" s="112"/>
      <c r="B150" s="113"/>
      <c r="C150" s="116"/>
      <c r="D150" s="142"/>
      <c r="E150" s="117">
        <f>ROUND($D150*$C$9*$C$10,2)</f>
        <v>0</v>
      </c>
      <c r="F150" s="117">
        <v>0</v>
      </c>
      <c r="G150" s="139">
        <f>IFERROR(($F150/$E150)-1,0)</f>
        <v>0</v>
      </c>
      <c r="H150" s="139">
        <f t="shared" si="64" ref="H150:H153">IFERROR((F150/D150)-1,0)</f>
        <v>0</v>
      </c>
      <c r="I150" s="140"/>
      <c r="J150" s="141">
        <f>IFERROR($E150*$I150,0)</f>
        <v>0</v>
      </c>
      <c r="K150" s="141">
        <f>IFERROR($F150*$I150,0)</f>
        <v>0</v>
      </c>
      <c r="L150" s="141">
        <f t="shared" si="65" ref="L150:L153">IFERROR(K150-J150,0)</f>
        <v>0</v>
      </c>
      <c r="M150" s="36"/>
    </row>
    <row r="151" spans="1:13" ht="15">
      <c r="A151" s="112"/>
      <c r="B151" s="113"/>
      <c r="C151" s="116"/>
      <c r="D151" s="143"/>
      <c r="E151" s="117">
        <f>ROUND($D151*$C$9*$C$10,2)</f>
        <v>0</v>
      </c>
      <c r="F151" s="117">
        <v>0</v>
      </c>
      <c r="G151" s="139">
        <f>IFERROR(($F151/$E151)-1,0)</f>
        <v>0</v>
      </c>
      <c r="H151" s="139">
        <f>IFERROR((F151/D151)-1,0)</f>
        <v>0</v>
      </c>
      <c r="I151" s="140"/>
      <c r="J151" s="141">
        <f>IFERROR($E151*$I151,0)</f>
        <v>0</v>
      </c>
      <c r="K151" s="141">
        <f>IFERROR($F151*$I151,0)</f>
        <v>0</v>
      </c>
      <c r="L151" s="141">
        <f>IFERROR(K151-J151,0)</f>
        <v>0</v>
      </c>
      <c r="M151" s="36"/>
    </row>
    <row r="152" spans="1:13" ht="15">
      <c r="A152" s="112"/>
      <c r="B152" s="113"/>
      <c r="C152" s="116"/>
      <c r="D152" s="142"/>
      <c r="E152" s="117">
        <f>ROUND($D152*$C$9*$C$10,2)</f>
        <v>0</v>
      </c>
      <c r="F152" s="117">
        <v>0</v>
      </c>
      <c r="G152" s="139">
        <f>IFERROR(($F152/$E152)-1,0)</f>
        <v>0</v>
      </c>
      <c r="H152" s="139">
        <f>IFERROR((F152/D152)-1,0)</f>
        <v>0</v>
      </c>
      <c r="I152" s="140"/>
      <c r="J152" s="141">
        <f>IFERROR($E152*$I152,0)</f>
        <v>0</v>
      </c>
      <c r="K152" s="141">
        <f>IFERROR($F152*$I152,0)</f>
        <v>0</v>
      </c>
      <c r="L152" s="141">
        <f>IFERROR(K152-J152,0)</f>
        <v>0</v>
      </c>
      <c r="M152" s="36"/>
    </row>
    <row r="153" spans="1:13" ht="15">
      <c r="A153" s="112"/>
      <c r="B153" s="113"/>
      <c r="C153" s="116"/>
      <c r="D153" s="142"/>
      <c r="E153" s="117">
        <f>ROUND($D153*$C$9*$C$10,2)</f>
        <v>0</v>
      </c>
      <c r="F153" s="117">
        <v>0</v>
      </c>
      <c r="G153" s="139">
        <f>IFERROR(($F153/$E153)-1,0)</f>
        <v>0</v>
      </c>
      <c r="H153" s="139">
        <f>IFERROR((F153/D153)-1,0)</f>
        <v>0</v>
      </c>
      <c r="I153" s="144"/>
      <c r="J153" s="141">
        <f>IFERROR($E153*$I153,0)</f>
        <v>0</v>
      </c>
      <c r="K153" s="141">
        <f>IFERROR($F153*$I153,0)</f>
        <v>0</v>
      </c>
      <c r="L153" s="141">
        <f>IFERROR(K153-J153,0)</f>
        <v>0</v>
      </c>
      <c r="M153" s="36"/>
    </row>
    <row r="154" spans="1:13" ht="15">
      <c r="A154" s="112"/>
      <c r="B154" s="20" t="s">
        <v>55</v>
      </c>
      <c r="C154" s="20" t="s">
        <v>56</v>
      </c>
      <c r="D154" s="142"/>
      <c r="E154" s="142"/>
      <c r="F154" s="142"/>
      <c r="G154" s="142"/>
      <c r="H154" s="142"/>
      <c r="I154" s="144"/>
      <c r="J154" s="144"/>
      <c r="K154" s="145"/>
      <c r="L154" s="146"/>
      <c r="M154" s="36"/>
    </row>
    <row r="155" spans="1:13" ht="15">
      <c r="A155" s="112" t="s">
        <v>58</v>
      </c>
      <c r="B155" s="113" t="s">
        <v>67</v>
      </c>
      <c r="C155" s="116" t="s">
        <v>56</v>
      </c>
      <c r="D155" s="117">
        <v>500</v>
      </c>
      <c r="E155" s="117">
        <f>ROUND($D155*$C$9*$C$10,2)</f>
        <v>568.18</v>
      </c>
      <c r="F155" s="117">
        <v>525</v>
      </c>
      <c r="G155" s="139">
        <f>IFERROR(($F155/$E155)-1,0)</f>
        <v>-0.07599704319053813</v>
      </c>
      <c r="H155" s="139">
        <f>IFERROR((F155/D155)-1,0)</f>
        <v>0.050000000000000044</v>
      </c>
      <c r="I155" s="140">
        <v>100</v>
      </c>
      <c r="J155" s="141">
        <f>IFERROR($E155*$I155,0)</f>
        <v>56817.99999999999</v>
      </c>
      <c r="K155" s="141">
        <f>IFERROR($F155*$I155,0)</f>
        <v>52500</v>
      </c>
      <c r="L155" s="141">
        <f>IFERROR(K155-J155,0)</f>
        <v>-4317.999999999993</v>
      </c>
      <c r="M155" s="36"/>
    </row>
    <row r="156" spans="1:13" ht="15">
      <c r="A156" s="112"/>
      <c r="B156" s="113"/>
      <c r="C156" s="116"/>
      <c r="D156" s="142"/>
      <c r="E156" s="117">
        <f>ROUND($D156*$C$9*$C$10,2)</f>
        <v>0</v>
      </c>
      <c r="F156" s="117">
        <v>0</v>
      </c>
      <c r="G156" s="139">
        <f>IFERROR(($F156/$E156)-1,0)</f>
        <v>0</v>
      </c>
      <c r="H156" s="139">
        <f t="shared" si="66" ref="H156:H159">IFERROR((F156/D156)-1,0)</f>
        <v>0</v>
      </c>
      <c r="I156" s="140"/>
      <c r="J156" s="141">
        <f>IFERROR($E156*$I156,0)</f>
        <v>0</v>
      </c>
      <c r="K156" s="141">
        <f>IFERROR($F156*$I156,0)</f>
        <v>0</v>
      </c>
      <c r="L156" s="141">
        <f t="shared" si="67" ref="L156:L159">IFERROR(K156-J156,0)</f>
        <v>0</v>
      </c>
      <c r="M156" s="36"/>
    </row>
    <row r="157" spans="1:13" ht="15">
      <c r="A157" s="112"/>
      <c r="B157" s="113"/>
      <c r="C157" s="116"/>
      <c r="D157" s="143"/>
      <c r="E157" s="117">
        <f>ROUND($D157*$C$9*$C$10,2)</f>
        <v>0</v>
      </c>
      <c r="F157" s="117">
        <v>0</v>
      </c>
      <c r="G157" s="139">
        <f>IFERROR(($F157/$E157)-1,0)</f>
        <v>0</v>
      </c>
      <c r="H157" s="139">
        <f>IFERROR((F157/D157)-1,0)</f>
        <v>0</v>
      </c>
      <c r="I157" s="140"/>
      <c r="J157" s="141">
        <f>IFERROR($E157*$I157,0)</f>
        <v>0</v>
      </c>
      <c r="K157" s="141">
        <f>IFERROR($F157*$I157,0)</f>
        <v>0</v>
      </c>
      <c r="L157" s="141">
        <f>IFERROR(K157-J157,0)</f>
        <v>0</v>
      </c>
      <c r="M157" s="36"/>
    </row>
    <row r="158" spans="1:13" ht="15">
      <c r="A158" s="112"/>
      <c r="B158" s="113"/>
      <c r="C158" s="116"/>
      <c r="D158" s="142"/>
      <c r="E158" s="117">
        <f>ROUND($D158*$C$9*$C$10,2)</f>
        <v>0</v>
      </c>
      <c r="F158" s="117">
        <v>0</v>
      </c>
      <c r="G158" s="139">
        <f>IFERROR(($F158/$E158)-1,0)</f>
        <v>0</v>
      </c>
      <c r="H158" s="139">
        <f>IFERROR((F158/D158)-1,0)</f>
        <v>0</v>
      </c>
      <c r="I158" s="140"/>
      <c r="J158" s="141">
        <f>IFERROR($E158*$I158,0)</f>
        <v>0</v>
      </c>
      <c r="K158" s="141">
        <f>IFERROR($F158*$I158,0)</f>
        <v>0</v>
      </c>
      <c r="L158" s="141">
        <f>IFERROR(K158-J158,0)</f>
        <v>0</v>
      </c>
      <c r="M158" s="36"/>
    </row>
    <row r="159" spans="1:13" ht="15">
      <c r="A159" s="112"/>
      <c r="B159" s="113"/>
      <c r="C159" s="116"/>
      <c r="D159" s="142"/>
      <c r="E159" s="117">
        <f>ROUND($D159*$C$9*$C$10,2)</f>
        <v>0</v>
      </c>
      <c r="F159" s="117">
        <v>0</v>
      </c>
      <c r="G159" s="139">
        <f>IFERROR(($F159/$E159)-1,0)</f>
        <v>0</v>
      </c>
      <c r="H159" s="139">
        <f>IFERROR((F159/D159)-1,0)</f>
        <v>0</v>
      </c>
      <c r="I159" s="144"/>
      <c r="J159" s="141">
        <f>IFERROR($E159*$I159,0)</f>
        <v>0</v>
      </c>
      <c r="K159" s="141">
        <f>IFERROR($F159*$I159,0)</f>
        <v>0</v>
      </c>
      <c r="L159" s="141">
        <f>IFERROR(K159-J159,0)</f>
        <v>0</v>
      </c>
      <c r="M159" s="36"/>
    </row>
    <row r="160" spans="1:13" ht="30">
      <c r="A160" s="112"/>
      <c r="B160" s="20" t="s">
        <v>70</v>
      </c>
      <c r="C160" s="20" t="s">
        <v>72</v>
      </c>
      <c r="D160" s="142"/>
      <c r="E160" s="142"/>
      <c r="F160" s="142"/>
      <c r="G160" s="142"/>
      <c r="H160" s="142"/>
      <c r="I160" s="144"/>
      <c r="J160" s="144"/>
      <c r="K160" s="145"/>
      <c r="L160" s="146"/>
      <c r="M160" s="36"/>
    </row>
    <row r="161" spans="1:13" ht="15">
      <c r="A161" s="112" t="s">
        <v>58</v>
      </c>
      <c r="B161" s="113" t="s">
        <v>71</v>
      </c>
      <c r="C161" s="116" t="s">
        <v>72</v>
      </c>
      <c r="D161" s="117">
        <v>90</v>
      </c>
      <c r="E161" s="117">
        <f>ROUND($D161*$C$9*$C$10,2)</f>
        <v>102.27</v>
      </c>
      <c r="F161" s="117">
        <v>100</v>
      </c>
      <c r="G161" s="139">
        <f>IFERROR(($F161/$E161)-1,0)</f>
        <v>-0.022196147452820947</v>
      </c>
      <c r="H161" s="139">
        <f>IFERROR((F161/D161)-1,0)</f>
        <v>0.11111111111111116</v>
      </c>
      <c r="I161" s="140">
        <v>100</v>
      </c>
      <c r="J161" s="141">
        <f>IFERROR($E161*$I161,0)</f>
        <v>10227</v>
      </c>
      <c r="K161" s="141">
        <f>IFERROR($F161*$I161,0)</f>
        <v>10000</v>
      </c>
      <c r="L161" s="141">
        <f>IFERROR(K161-J161,0)</f>
        <v>-227</v>
      </c>
      <c r="M161" s="36"/>
    </row>
    <row r="162" spans="1:13" ht="15">
      <c r="A162" s="112"/>
      <c r="B162" s="113"/>
      <c r="C162" s="116"/>
      <c r="D162" s="142"/>
      <c r="E162" s="117">
        <f>ROUND($D162*$C$9*$C$10,2)</f>
        <v>0</v>
      </c>
      <c r="F162" s="117">
        <v>0</v>
      </c>
      <c r="G162" s="139">
        <f>IFERROR(($F162/$E162)-1,0)</f>
        <v>0</v>
      </c>
      <c r="H162" s="139">
        <f t="shared" si="68" ref="H162:H165">IFERROR((F162/D162)-1,0)</f>
        <v>0</v>
      </c>
      <c r="I162" s="140"/>
      <c r="J162" s="141">
        <f>IFERROR($E162*$I162,0)</f>
        <v>0</v>
      </c>
      <c r="K162" s="141">
        <f>IFERROR($F162*$I162,0)</f>
        <v>0</v>
      </c>
      <c r="L162" s="141">
        <f t="shared" si="69" ref="L162:L165">IFERROR(K162-J162,0)</f>
        <v>0</v>
      </c>
      <c r="M162" s="36"/>
    </row>
    <row r="163" spans="1:13" ht="15">
      <c r="A163" s="112"/>
      <c r="B163" s="113"/>
      <c r="C163" s="116"/>
      <c r="D163" s="143"/>
      <c r="E163" s="117">
        <f>ROUND($D163*$C$9*$C$10,2)</f>
        <v>0</v>
      </c>
      <c r="F163" s="117">
        <v>0</v>
      </c>
      <c r="G163" s="139">
        <f>IFERROR(($F163/$E163)-1,0)</f>
        <v>0</v>
      </c>
      <c r="H163" s="139">
        <f>IFERROR((F163/D163)-1,0)</f>
        <v>0</v>
      </c>
      <c r="I163" s="140"/>
      <c r="J163" s="141">
        <f>IFERROR($E163*$I163,0)</f>
        <v>0</v>
      </c>
      <c r="K163" s="141">
        <f>IFERROR($F163*$I163,0)</f>
        <v>0</v>
      </c>
      <c r="L163" s="141">
        <f>IFERROR(K163-J163,0)</f>
        <v>0</v>
      </c>
      <c r="M163" s="36"/>
    </row>
    <row r="164" spans="1:13" ht="15">
      <c r="A164" s="112"/>
      <c r="B164" s="113"/>
      <c r="C164" s="116"/>
      <c r="D164" s="142"/>
      <c r="E164" s="117">
        <f>ROUND($D164*$C$9*$C$10,2)</f>
        <v>0</v>
      </c>
      <c r="F164" s="117">
        <v>0</v>
      </c>
      <c r="G164" s="139">
        <f>IFERROR(($F164/$E164)-1,0)</f>
        <v>0</v>
      </c>
      <c r="H164" s="139">
        <f>IFERROR((F164/D164)-1,0)</f>
        <v>0</v>
      </c>
      <c r="I164" s="140"/>
      <c r="J164" s="141">
        <f>IFERROR($E164*$I164,0)</f>
        <v>0</v>
      </c>
      <c r="K164" s="141">
        <f>IFERROR($F164*$I164,0)</f>
        <v>0</v>
      </c>
      <c r="L164" s="141">
        <f>IFERROR(K164-J164,0)</f>
        <v>0</v>
      </c>
      <c r="M164" s="36"/>
    </row>
    <row r="165" spans="1:13" ht="15">
      <c r="A165" s="112"/>
      <c r="B165" s="113"/>
      <c r="C165" s="116"/>
      <c r="D165" s="142"/>
      <c r="E165" s="117">
        <f>ROUND($D165*$C$9*$C$10,2)</f>
        <v>0</v>
      </c>
      <c r="F165" s="117">
        <v>0</v>
      </c>
      <c r="G165" s="139">
        <f>IFERROR(($F165/$E165)-1,0)</f>
        <v>0</v>
      </c>
      <c r="H165" s="139">
        <f>IFERROR((F165/D165)-1,0)</f>
        <v>0</v>
      </c>
      <c r="I165" s="144"/>
      <c r="J165" s="141">
        <f>IFERROR($E165*$I165,0)</f>
        <v>0</v>
      </c>
      <c r="K165" s="141">
        <f>IFERROR($F165*$I165,0)</f>
        <v>0</v>
      </c>
      <c r="L165" s="141">
        <f>IFERROR(K165-J165,0)</f>
        <v>0</v>
      </c>
      <c r="M165" s="36"/>
    </row>
    <row r="166" spans="1:13" ht="15">
      <c r="A166" s="127"/>
      <c r="B166" s="32"/>
      <c r="C166" s="98"/>
      <c r="D166" s="31"/>
      <c r="I166" s="34"/>
      <c r="L166" s="35"/>
      <c r="M166" s="36"/>
    </row>
    <row r="167" spans="1:13" ht="15">
      <c r="A167" s="127"/>
      <c r="B167" s="32"/>
      <c r="C167" s="98"/>
      <c r="D167" s="31"/>
      <c r="I167" s="34"/>
      <c r="L167" s="35"/>
      <c r="M167" s="36"/>
    </row>
    <row r="168" spans="1:13" ht="15">
      <c r="A168" s="127"/>
      <c r="B168" s="32"/>
      <c r="C168" s="98"/>
      <c r="D168" s="31"/>
      <c r="I168" s="34"/>
      <c r="L168" s="35"/>
      <c r="M168" s="36"/>
    </row>
  </sheetData>
  <mergeCells count="19">
    <mergeCell ref="J102:L102"/>
    <mergeCell ref="A99:L100"/>
    <mergeCell ref="L31:N31"/>
    <mergeCell ref="A28:N29"/>
    <mergeCell ref="A14:A16"/>
    <mergeCell ref="G14:H14"/>
    <mergeCell ref="I14:J14"/>
    <mergeCell ref="K14:L14"/>
    <mergeCell ref="B14:F14"/>
    <mergeCell ref="A1:B1"/>
    <mergeCell ref="A2:B2"/>
    <mergeCell ref="A3:B3"/>
    <mergeCell ref="A4:B4"/>
    <mergeCell ref="A5:B5"/>
    <mergeCell ref="A7:B7"/>
    <mergeCell ref="A8:B8"/>
    <mergeCell ref="A9:B9"/>
    <mergeCell ref="A10:B10"/>
    <mergeCell ref="A11:B11"/>
  </mergeCells>
  <conditionalFormatting sqref="E25:E26">
    <cfRule type="expression" priority="1" dxfId="1">
      <formula>$E25="Fail"</formula>
    </cfRule>
    <cfRule type="expression" priority="2" dxfId="0">
      <formula>$E25="Pass"</formula>
    </cfRule>
  </conditionalFormatting>
  <conditionalFormatting sqref="F18:F24">
    <cfRule type="expression" priority="5" dxfId="1">
      <formula>$F18="Fail"</formula>
    </cfRule>
    <cfRule type="expression" priority="6" dxfId="0">
      <formula>$F18="Pass"</formula>
    </cfRule>
  </conditionalFormatting>
  <pageMargins left="0.25" right="0.25" top="0.75" bottom="0.75" header="0.3" footer="0.3"/>
  <pageSetup fitToHeight="0" orientation="landscape" paperSize="5" scale="62" r:id="rId1"/>
  <headerFooter>
    <oddFooter>&amp;L&amp;Z&amp;F\&amp;A&amp;R&amp;D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Sellinger, Rosanne D.</dc:creator>
  <cp:keywords/>
  <dc:description/>
  <cp:lastModifiedBy>Richard Kwiatkowski</cp:lastModifiedBy>
  <cp:lastPrinted>2019-04-26T14:56:10Z</cp:lastPrinted>
  <dcterms:created xsi:type="dcterms:W3CDTF">2019-01-28T20:09:06Z</dcterms:created>
  <dcterms:modified xsi:type="dcterms:W3CDTF">2019-04-29T21:21:02Z</dcterms:modified>
  <cp:category/>
</cp:coreProperties>
</file>